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fieldcrops/2026/"/>
    </mc:Choice>
  </mc:AlternateContent>
  <xr:revisionPtr revIDLastSave="119" documentId="13_ncr:1_{911DEA71-5EAE-4794-ACAD-79C268A7A04A}" xr6:coauthVersionLast="47" xr6:coauthVersionMax="47" xr10:uidLastSave="{B0B3B3BE-C904-4361-9820-31F9F79047DB}"/>
  <bookViews>
    <workbookView xWindow="6870" yWindow="0" windowWidth="12420" windowHeight="10170" xr2:uid="{00000000-000D-0000-FFFF-FFFF00000000}"/>
  </bookViews>
  <sheets>
    <sheet name="SCANOL" sheetId="1" r:id="rId1"/>
  </sheets>
  <definedNames>
    <definedName name="_Key1" localSheetId="0" hidden="1">SCANOL!$HW$39:$HW$42</definedName>
    <definedName name="_Key1" hidden="1">#REF!</definedName>
    <definedName name="_Order1" hidden="1">255</definedName>
    <definedName name="_Parse_In" localSheetId="0" hidden="1">SCANOL!$H$118:$H$120</definedName>
    <definedName name="_Parse_In" hidden="1">#REF!</definedName>
    <definedName name="_Parse_Out" localSheetId="0" hidden="1">SCANOL!$H$122</definedName>
    <definedName name="_Parse_Out" hidden="1">#REF!</definedName>
    <definedName name="_Regression_Int" localSheetId="0" hidden="1">1</definedName>
    <definedName name="_Sort" localSheetId="0" hidden="1">SCANOL!$HV$39:$IB$42</definedName>
    <definedName name="_Sort" hidden="1">#REF!</definedName>
    <definedName name="_Table2_In1" localSheetId="0" hidden="1">SCANOL!$BA$49</definedName>
    <definedName name="_Table2_In1" hidden="1">#REF!</definedName>
    <definedName name="_Table2_In2" localSheetId="0" hidden="1">SCANOL!$BA$50</definedName>
    <definedName name="_Table2_In2" hidden="1">#REF!</definedName>
    <definedName name="_Table2_Out" localSheetId="0" hidden="1">SCANOL!$BB$15:$BJ$47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26" i="1" l="1"/>
  <c r="G25" i="1" s="1"/>
  <c r="AA27" i="1" s="1"/>
  <c r="H25" i="1" s="1"/>
  <c r="AA32" i="1"/>
  <c r="G27" i="1" s="1"/>
  <c r="AA33" i="1" s="1"/>
  <c r="H27" i="1" s="1"/>
  <c r="AA114" i="1"/>
  <c r="E69" i="1" s="1"/>
  <c r="AA116" i="1" s="1"/>
  <c r="H69" i="1" s="1"/>
  <c r="AA115" i="1" s="1"/>
  <c r="G69" i="1" s="1"/>
  <c r="AA103" i="1"/>
  <c r="E65" i="1" s="1"/>
  <c r="AA105" i="1" s="1"/>
  <c r="H65" i="1" s="1"/>
  <c r="AA104" i="1" s="1"/>
  <c r="G65" i="1" s="1"/>
  <c r="AA106" i="1"/>
  <c r="E66" i="1" s="1"/>
  <c r="AA108" i="1" s="1"/>
  <c r="H66" i="1" s="1"/>
  <c r="AA107" i="1" s="1"/>
  <c r="G66" i="1" s="1"/>
  <c r="AA82" i="1"/>
  <c r="E54" i="1" s="1"/>
  <c r="AA84" i="1" s="1"/>
  <c r="H54" i="1" s="1"/>
  <c r="AA83" i="1" s="1"/>
  <c r="G54" i="1" s="1"/>
  <c r="AA85" i="1"/>
  <c r="E55" i="1" s="1"/>
  <c r="AA87" i="1" s="1"/>
  <c r="H55" i="1" s="1"/>
  <c r="AA86" i="1" s="1"/>
  <c r="G55" i="1" s="1"/>
  <c r="AA91" i="1"/>
  <c r="E57" i="1" s="1"/>
  <c r="AA93" i="1" s="1"/>
  <c r="H57" i="1" s="1"/>
  <c r="AA92" i="1" s="1"/>
  <c r="G57" i="1" s="1"/>
  <c r="AA98" i="1"/>
  <c r="E60" i="1" s="1"/>
  <c r="AA88" i="1"/>
  <c r="E56" i="1" s="1"/>
  <c r="AA90" i="1" s="1"/>
  <c r="H56" i="1" s="1"/>
  <c r="AA89" i="1" s="1"/>
  <c r="G56" i="1" s="1"/>
  <c r="AA94" i="1"/>
  <c r="E58" i="1" s="1"/>
  <c r="AA96" i="1" s="1"/>
  <c r="H58" i="1" s="1"/>
  <c r="AA95" i="1" s="1"/>
  <c r="G58" i="1" s="1"/>
  <c r="AA69" i="1"/>
  <c r="E43" i="1" s="1"/>
  <c r="AA70" i="1" s="1"/>
  <c r="G43" i="1" s="1"/>
  <c r="AA71" i="1" s="1"/>
  <c r="H43" i="1" s="1"/>
  <c r="AA58" i="1"/>
  <c r="F39" i="1" s="1"/>
  <c r="AA57" i="1"/>
  <c r="E39" i="1" s="1"/>
  <c r="AA138" i="1" s="1"/>
  <c r="I91" i="1" s="1"/>
  <c r="AA35" i="1"/>
  <c r="G28" i="1" s="1"/>
  <c r="AA36" i="1" s="1"/>
  <c r="H28" i="1" s="1"/>
  <c r="AA38" i="1"/>
  <c r="G29" i="1" s="1"/>
  <c r="AA39" i="1" s="1"/>
  <c r="H29" i="1" s="1"/>
  <c r="AA65" i="1"/>
  <c r="G41" i="1" s="1"/>
  <c r="AA66" i="1" s="1"/>
  <c r="H41" i="1" s="1"/>
  <c r="AA67" i="1"/>
  <c r="G42" i="1" s="1"/>
  <c r="AA68" i="1" s="1"/>
  <c r="H42" i="1" s="1"/>
  <c r="AA29" i="1"/>
  <c r="G26" i="1" s="1"/>
  <c r="AA30" i="1" s="1"/>
  <c r="H26" i="1" s="1"/>
  <c r="AA42" i="1"/>
  <c r="G33" i="1" s="1"/>
  <c r="AA43" i="1" s="1"/>
  <c r="H33" i="1" s="1"/>
  <c r="AA45" i="1"/>
  <c r="G34" i="1" s="1"/>
  <c r="AA46" i="1" s="1"/>
  <c r="H34" i="1" s="1"/>
  <c r="AA48" i="1"/>
  <c r="G35" i="1" s="1"/>
  <c r="AA49" i="1" s="1"/>
  <c r="H35" i="1" s="1"/>
  <c r="AA51" i="1"/>
  <c r="G36" i="1" s="1"/>
  <c r="AA52" i="1" s="1"/>
  <c r="H36" i="1" s="1"/>
  <c r="AA53" i="1"/>
  <c r="G37" i="1" s="1"/>
  <c r="AA54" i="1" s="1"/>
  <c r="H37" i="1" s="1"/>
  <c r="AA55" i="1"/>
  <c r="G38" i="1" s="1"/>
  <c r="AA56" i="1" s="1"/>
  <c r="H38" i="1" s="1"/>
  <c r="AA63" i="1"/>
  <c r="G40" i="1" s="1"/>
  <c r="AA64" i="1" s="1"/>
  <c r="H40" i="1" s="1"/>
  <c r="AA72" i="1"/>
  <c r="G44" i="1" s="1"/>
  <c r="AA73" i="1" s="1"/>
  <c r="H44" i="1" s="1"/>
  <c r="AA80" i="1"/>
  <c r="G47" i="1" s="1"/>
  <c r="AA81" i="1" s="1"/>
  <c r="H47" i="1" s="1"/>
  <c r="AA110" i="1"/>
  <c r="H67" i="1" s="1"/>
  <c r="AA109" i="1" s="1"/>
  <c r="G67" i="1" s="1"/>
  <c r="AA111" i="1"/>
  <c r="E68" i="1" s="1"/>
  <c r="AA113" i="1" s="1"/>
  <c r="H68" i="1" s="1"/>
  <c r="AA9" i="1"/>
  <c r="D16" i="1"/>
  <c r="AA139" i="1" s="1"/>
  <c r="I92" i="1" s="1"/>
  <c r="AA61" i="1"/>
  <c r="AA77" i="1"/>
  <c r="E46" i="1" s="1"/>
  <c r="AA78" i="1" s="1"/>
  <c r="G46" i="1" s="1"/>
  <c r="AA79" i="1" s="1"/>
  <c r="H46" i="1" s="1"/>
  <c r="AA37" i="1" s="1"/>
  <c r="K28" i="1" s="1"/>
  <c r="AA74" i="1"/>
  <c r="E45" i="1" s="1"/>
  <c r="AA75" i="1" s="1"/>
  <c r="G45" i="1" s="1"/>
  <c r="AA76" i="1" s="1"/>
  <c r="H45" i="1" s="1"/>
  <c r="AA10" i="1"/>
  <c r="H16" i="1" s="1"/>
  <c r="AA122" i="1"/>
  <c r="AA119" i="1"/>
  <c r="E74" i="1" s="1"/>
  <c r="AA120" i="1" s="1"/>
  <c r="F74" i="1" s="1"/>
  <c r="AA17" i="1" s="1"/>
  <c r="K18" i="1" s="1"/>
  <c r="AA25" i="1"/>
  <c r="AA23" i="1"/>
  <c r="K23" i="1" s="1"/>
  <c r="AA22" i="1"/>
  <c r="K21" i="1" s="1"/>
  <c r="AA21" i="1"/>
  <c r="K20" i="1" s="1"/>
  <c r="AA8" i="1"/>
  <c r="K15" i="1" s="1"/>
  <c r="AA5" i="1"/>
  <c r="G10" i="1" s="1"/>
  <c r="AA4" i="1"/>
  <c r="E10" i="1" s="1"/>
  <c r="AA3" i="1"/>
  <c r="C10" i="1" s="1"/>
  <c r="AA28" i="1" l="1"/>
  <c r="K25" i="1" s="1"/>
  <c r="AA140" i="1"/>
  <c r="I93" i="1" s="1"/>
  <c r="AA136" i="1" s="1"/>
  <c r="G91" i="1" s="1"/>
  <c r="H91" i="1" s="1"/>
  <c r="AA112" i="1"/>
  <c r="G68" i="1" s="1"/>
  <c r="AA118" i="1"/>
  <c r="H71" i="1" s="1"/>
  <c r="AA40" i="1"/>
  <c r="K29" i="1" s="1"/>
  <c r="AA24" i="1"/>
  <c r="K24" i="1" s="1"/>
  <c r="AA31" i="1"/>
  <c r="K26" i="1" s="1"/>
  <c r="AA44" i="1"/>
  <c r="K33" i="1" s="1"/>
  <c r="AA19" i="1" s="1"/>
  <c r="H19" i="1" s="1"/>
  <c r="AA59" i="1"/>
  <c r="G39" i="1" s="1"/>
  <c r="AA60" i="1" s="1"/>
  <c r="H39" i="1" s="1"/>
  <c r="AA47" i="1" s="1"/>
  <c r="K34" i="1" s="1"/>
  <c r="AA50" i="1" s="1"/>
  <c r="K35" i="1" s="1"/>
  <c r="AA41" i="1"/>
  <c r="K31" i="1" s="1"/>
  <c r="AA18" i="1" s="1"/>
  <c r="D19" i="1" s="1"/>
  <c r="AA20" i="1" l="1"/>
  <c r="K19" i="1" s="1"/>
  <c r="AA34" i="1"/>
  <c r="K27" i="1" s="1"/>
  <c r="AA13" i="1"/>
  <c r="H17" i="1" s="1"/>
  <c r="AA16" i="1"/>
  <c r="H18" i="1" s="1"/>
  <c r="AA15" i="1"/>
  <c r="D18" i="1" s="1"/>
  <c r="AA12" i="1"/>
  <c r="D17" i="1" s="1"/>
  <c r="AA14" i="1"/>
  <c r="K17" i="1" s="1"/>
  <c r="AA128" i="1"/>
  <c r="F79" i="1" s="1"/>
  <c r="AA127" i="1" s="1"/>
  <c r="E79" i="1" s="1"/>
  <c r="AA132" i="1" s="1"/>
  <c r="G84" i="1" s="1"/>
  <c r="AA117" i="1"/>
  <c r="G71" i="1" s="1"/>
  <c r="AA97" i="1"/>
  <c r="J58" i="1" s="1"/>
  <c r="AA100" i="1" s="1"/>
  <c r="H60" i="1" s="1"/>
  <c r="AA121" i="1" l="1"/>
  <c r="AA99" i="1"/>
  <c r="G60" i="1" s="1"/>
  <c r="AA102" i="1"/>
  <c r="H62" i="1" s="1"/>
  <c r="AA6" i="1"/>
  <c r="D14" i="1" s="1"/>
  <c r="AA62" i="1" s="1"/>
  <c r="AA7" i="1"/>
  <c r="K14" i="1" s="1"/>
  <c r="AA11" i="1" l="1"/>
  <c r="K16" i="1" s="1"/>
  <c r="AA124" i="1"/>
  <c r="F76" i="1" s="1"/>
  <c r="AA101" i="1"/>
  <c r="G62" i="1" s="1"/>
  <c r="AA126" i="1" l="1"/>
  <c r="F78" i="1" s="1"/>
  <c r="AA123" i="1"/>
  <c r="E76" i="1" s="1"/>
  <c r="AA131" i="1" s="1"/>
  <c r="G83" i="1" s="1"/>
  <c r="AA133" i="1" s="1"/>
  <c r="G86" i="1" s="1"/>
  <c r="AA125" i="1" l="1"/>
  <c r="E78" i="1" s="1"/>
  <c r="AA130" i="1"/>
  <c r="F81" i="1" s="1"/>
  <c r="AA129" i="1" s="1"/>
  <c r="E81" i="1" s="1"/>
  <c r="AA2" i="1" l="1"/>
  <c r="H3" i="1" s="1"/>
  <c r="AA137" i="1"/>
  <c r="I90" i="1" s="1"/>
  <c r="AA148" i="1" l="1"/>
  <c r="C99" i="1" s="1"/>
  <c r="AA145" i="1"/>
  <c r="C98" i="1" s="1"/>
  <c r="AA142" i="1"/>
  <c r="C97" i="1" s="1"/>
  <c r="AA144" i="1"/>
  <c r="J95" i="1" s="1"/>
  <c r="AA143" i="1"/>
  <c r="I95" i="1" s="1"/>
  <c r="AA151" i="1"/>
  <c r="C100" i="1" s="1"/>
  <c r="AA141" i="1"/>
  <c r="C96" i="1" s="1"/>
  <c r="AA149" i="1" l="1"/>
  <c r="I97" i="1" s="1"/>
  <c r="AA146" i="1"/>
  <c r="I96" i="1" s="1"/>
  <c r="AA150" i="1"/>
  <c r="J97" i="1" s="1"/>
  <c r="AA147" i="1"/>
  <c r="J96" i="1" s="1"/>
  <c r="AA152" i="1" l="1"/>
  <c r="I98" i="1" s="1"/>
  <c r="AA134" i="1" s="1"/>
  <c r="G88" i="1" s="1"/>
  <c r="AA153" i="1"/>
  <c r="J98" i="1" s="1"/>
  <c r="AA135" i="1" s="1"/>
  <c r="G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b/>
            <sz val="12"/>
            <color indexed="81"/>
            <rFont val="Arial"/>
            <family val="2"/>
          </rPr>
          <t>The Optimistic estimate is what you would reasonably expect to be seen at least 1 out of every 6 years</t>
        </r>
        <r>
          <rPr>
            <sz val="12"/>
            <color indexed="81"/>
            <rFont val="Arial"/>
            <family val="2"/>
          </rPr>
          <t xml:space="preserve">
</t>
        </r>
      </text>
    </comment>
    <comment ref="E7" authorId="0" shapeId="0" xr:uid="{00000000-0006-0000-0000-000002000000}">
      <text>
        <r>
          <rPr>
            <b/>
            <sz val="12"/>
            <color indexed="81"/>
            <rFont val="Arial"/>
            <family val="2"/>
          </rPr>
          <t>The Expected outcome is the most likely outcome you expect this year</t>
        </r>
        <r>
          <rPr>
            <sz val="12"/>
            <color indexed="81"/>
            <rFont val="Arial"/>
            <family val="2"/>
          </rPr>
          <t xml:space="preserve">
</t>
        </r>
      </text>
    </comment>
    <comment ref="G7" authorId="0" shapeId="0" xr:uid="{00000000-0006-0000-0000-000003000000}">
      <text>
        <r>
          <rPr>
            <b/>
            <sz val="12"/>
            <color indexed="81"/>
            <rFont val="Arial"/>
            <family val="2"/>
          </rPr>
          <t xml:space="preserve">The Pessimistic expectation should be the poorest result you would reasonably expect to occur 1 out of every 6 years </t>
        </r>
        <r>
          <rPr>
            <sz val="12"/>
            <color indexed="81"/>
            <rFont val="Arial"/>
            <family val="2"/>
          </rPr>
          <t xml:space="preserve">
</t>
        </r>
      </text>
    </comment>
    <comment ref="A58" authorId="1" shapeId="0" xr:uid="{00000000-0006-0000-0000-000004000000}">
      <text>
        <r>
          <rPr>
            <b/>
            <sz val="12"/>
            <color indexed="81"/>
            <rFont val="Tahoma"/>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69" authorId="1" shapeId="0" xr:uid="{00000000-0006-0000-0000-000005000000}">
      <text>
        <r>
          <rPr>
            <b/>
            <sz val="12"/>
            <color indexed="81"/>
            <rFont val="Tahoma"/>
            <family val="2"/>
          </rPr>
          <t>To arrive at a $/acre, add your Property taxes, insurance premiums other than production/livestock insurance, and Other general fixed costs and divide by your total # of acres</t>
        </r>
      </text>
    </comment>
    <comment ref="C91"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<sst xmlns="http://schemas.openxmlformats.org/spreadsheetml/2006/main" count="195" uniqueCount="148">
  <si>
    <t>Number of Acres =</t>
  </si>
  <si>
    <t xml:space="preserve">    1 t =</t>
  </si>
  <si>
    <t>bu</t>
  </si>
  <si>
    <t>Yield - tonne/ac</t>
  </si>
  <si>
    <t>Price - $/tonne</t>
  </si>
  <si>
    <t>Production - tonne</t>
  </si>
  <si>
    <t>Insurance Evaluation</t>
  </si>
  <si>
    <t xml:space="preserve"> Premium/ac:</t>
  </si>
  <si>
    <t xml:space="preserve"> Guaranteed Price/lb.</t>
  </si>
  <si>
    <t>n/a</t>
  </si>
  <si>
    <t xml:space="preserve">   Level of Coverage</t>
  </si>
  <si>
    <t xml:space="preserve"> Guaranteed Price/t</t>
  </si>
  <si>
    <t xml:space="preserve">   Guaranteed Yield/ac.</t>
  </si>
  <si>
    <t xml:space="preserve"> Probability of a payout</t>
  </si>
  <si>
    <t xml:space="preserve">   Probability of a payout</t>
  </si>
  <si>
    <t xml:space="preserve"> Expected Payout/ac</t>
  </si>
  <si>
    <t xml:space="preserve">   Expected Payout/ac</t>
  </si>
  <si>
    <t>Yes</t>
  </si>
  <si>
    <t xml:space="preserve">  Participate in CI? (y/n)</t>
  </si>
  <si>
    <t>Unit/Ac</t>
  </si>
  <si>
    <t>Number</t>
  </si>
  <si>
    <t>Cost/Unit</t>
  </si>
  <si>
    <t>$/Acre</t>
  </si>
  <si>
    <t>$/Year</t>
  </si>
  <si>
    <t>Allo!C3..J14</t>
  </si>
  <si>
    <t>Expenses</t>
  </si>
  <si>
    <t>-------</t>
  </si>
  <si>
    <t xml:space="preserve">  ------</t>
  </si>
  <si>
    <t>-</t>
  </si>
  <si>
    <t xml:space="preserve">  -------</t>
  </si>
  <si>
    <t>Variable Costs:</t>
  </si>
  <si>
    <t xml:space="preserve"> Seed </t>
  </si>
  <si>
    <t>kg</t>
  </si>
  <si>
    <t xml:space="preserve"> Seed Treatment</t>
  </si>
  <si>
    <t xml:space="preserve"> </t>
  </si>
  <si>
    <t>Grip prob factor (component of grip)</t>
  </si>
  <si>
    <t xml:space="preserve"> Herbicide </t>
  </si>
  <si>
    <t xml:space="preserve">   Annual Grasses</t>
  </si>
  <si>
    <t>kg or l</t>
  </si>
  <si>
    <t>C.I. prob factor (component of Crop Insurance)</t>
  </si>
  <si>
    <t xml:space="preserve">   Broadleaf Herbicides</t>
  </si>
  <si>
    <t xml:space="preserve">   Other Herbicides</t>
  </si>
  <si>
    <t xml:space="preserve"> Insecticides</t>
  </si>
  <si>
    <t xml:space="preserve"> Fungicides</t>
  </si>
  <si>
    <t xml:space="preserve"> Technology Use Agreement</t>
  </si>
  <si>
    <t xml:space="preserve"> Crop Insurance</t>
  </si>
  <si>
    <t>Insurance</t>
  </si>
  <si>
    <t xml:space="preserve"> Drying </t>
  </si>
  <si>
    <t>tonnes</t>
  </si>
  <si>
    <t xml:space="preserve"> Storage</t>
  </si>
  <si>
    <t xml:space="preserve"> Trucking</t>
  </si>
  <si>
    <t xml:space="preserve"> Marketing Fees</t>
  </si>
  <si>
    <t xml:space="preserve"> Other</t>
  </si>
  <si>
    <t>Wfarm!L4</t>
  </si>
  <si>
    <t>Wfarm!L5</t>
  </si>
  <si>
    <t>Typical</t>
  </si>
  <si>
    <t xml:space="preserve"> Enterprise</t>
  </si>
  <si>
    <t>Wfarm!L6</t>
  </si>
  <si>
    <t xml:space="preserve"> $/Acre</t>
  </si>
  <si>
    <t xml:space="preserve"> $ Allocated</t>
  </si>
  <si>
    <t>Wfarm!L7</t>
  </si>
  <si>
    <t xml:space="preserve"> Fuel</t>
  </si>
  <si>
    <t>Wfarm!L8</t>
  </si>
  <si>
    <t xml:space="preserve"> Mach. Repair &amp; Maint.</t>
  </si>
  <si>
    <t xml:space="preserve"> Bldg. Repair &amp; Maint.</t>
  </si>
  <si>
    <t xml:space="preserve"> General Variable Costs</t>
  </si>
  <si>
    <t>Wfarm!L9</t>
  </si>
  <si>
    <t xml:space="preserve"> Interest on</t>
  </si>
  <si>
    <t>%int</t>
  </si>
  <si>
    <t>%year</t>
  </si>
  <si>
    <t xml:space="preserve"> Operating Capital</t>
  </si>
  <si>
    <t>Total Variable Costs</t>
  </si>
  <si>
    <t>Fixed Costs:</t>
  </si>
  <si>
    <t>Wfarm!K4</t>
  </si>
  <si>
    <t xml:space="preserve"> Depreciation</t>
  </si>
  <si>
    <t>Wfarm!K5</t>
  </si>
  <si>
    <t xml:space="preserve"> Interest on Term Loans</t>
  </si>
  <si>
    <t>Wfarm!K6</t>
  </si>
  <si>
    <t xml:space="preserve"> Long-term Leases</t>
  </si>
  <si>
    <t>Wfarm!K7</t>
  </si>
  <si>
    <t xml:space="preserve"> General Fixed Costs</t>
  </si>
  <si>
    <t>Total Fixed Costs</t>
  </si>
  <si>
    <t>Revenues:</t>
  </si>
  <si>
    <t>Total Expected Revenues</t>
  </si>
  <si>
    <t xml:space="preserve">    less: Variable Costs</t>
  </si>
  <si>
    <t>Expected Operating Margin</t>
  </si>
  <si>
    <t xml:space="preserve">    less: Fixed Costs</t>
  </si>
  <si>
    <t>Expected Net Revenue</t>
  </si>
  <si>
    <t xml:space="preserve">   Break-even Price/tonne to cover:</t>
  </si>
  <si>
    <t>Variable Costs</t>
  </si>
  <si>
    <t>Fixed Costs</t>
  </si>
  <si>
    <t>Total Costs</t>
  </si>
  <si>
    <t>Chance of at least breaking even          ==&gt;</t>
  </si>
  <si>
    <t>Chance of at least</t>
  </si>
  <si>
    <t>$/acre return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</si>
  <si>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</si>
  <si>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</si>
  <si>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</si>
  <si>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</si>
  <si>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</si>
  <si>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</si>
  <si>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</si>
  <si>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</si>
  <si>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</si>
  <si>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</si>
  <si>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</si>
  <si>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</si>
  <si>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</si>
  <si>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</si>
  <si>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</si>
  <si>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</si>
  <si>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</si>
  <si>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#1</t>
  </si>
  <si>
    <t>#2</t>
  </si>
  <si>
    <t>#3</t>
  </si>
  <si>
    <t xml:space="preserve"> Fertilizer   </t>
  </si>
  <si>
    <t>Fertilizer Spreader</t>
  </si>
  <si>
    <t>Custom Work   #1</t>
  </si>
  <si>
    <t>Chem. Application</t>
  </si>
  <si>
    <t>Program Payments:</t>
  </si>
  <si>
    <t>Participate in Programs? (y/n)</t>
  </si>
  <si>
    <t xml:space="preserve"> Program Premium</t>
  </si>
  <si>
    <t>Premium</t>
  </si>
  <si>
    <t>Return Per Acre</t>
  </si>
  <si>
    <t xml:space="preserve"> Labour</t>
  </si>
  <si>
    <t xml:space="preserve"> Land Costs</t>
  </si>
  <si>
    <t xml:space="preserve">The user of this worksheet assumes all responsibility. </t>
  </si>
  <si>
    <t>For more information:</t>
  </si>
  <si>
    <t>1-877-424-1300</t>
  </si>
  <si>
    <t>N</t>
  </si>
  <si>
    <t>Spring Canola-herbicide tolerant ENTERPRISE BUDGET</t>
  </si>
  <si>
    <t>Optimistic</t>
  </si>
  <si>
    <t xml:space="preserve"> Expected</t>
  </si>
  <si>
    <t>Pessimistic</t>
  </si>
  <si>
    <t xml:space="preserve">Risk Indicator - </t>
  </si>
  <si>
    <t>Coefficient of variation                 ==&gt;</t>
  </si>
  <si>
    <t>Low Risk</t>
  </si>
  <si>
    <t>Moderate Risk</t>
  </si>
  <si>
    <t>High Risk</t>
  </si>
  <si>
    <t>Agricultural Information Contact Centre</t>
  </si>
  <si>
    <t>ag.info.omafra@ontario.ca</t>
  </si>
  <si>
    <t>This is a cost of production budgeting tool that has 1 worksheet. There are fields that can be completed by the user. It is up to 21 columns wide and 252 rows.</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</si>
  <si>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</si>
  <si>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</si>
  <si>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e.g. swede midge</t>
  </si>
  <si>
    <t xml:space="preserve">  Production Insurance</t>
  </si>
  <si>
    <t xml:space="preserve">   P.I. Premium/ac:</t>
  </si>
  <si>
    <t xml:space="preserve">        Revised: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</si>
</sst>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_);\(&quot;$&quot;#,##0.00\)"/>
    <numFmt numFmtId="165" formatCode=";;;"/>
    <numFmt numFmtId="166" formatCode="0.00_)"/>
    <numFmt numFmtId="167" formatCode="0.000_)"/>
    <numFmt numFmtId="168" formatCode="0_)"/>
    <numFmt numFmtId="169" formatCode="0.0_)"/>
  </numFmts>
  <fonts count="19"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12"/>
      <name val="Arial"/>
      <family val="2"/>
    </font>
    <font>
      <sz val="8"/>
      <name val="Arial"/>
      <family val="2"/>
    </font>
    <font>
      <sz val="8"/>
      <color indexed="81"/>
      <name val="Tahoma"/>
      <family val="2"/>
    </font>
    <font>
      <sz val="9"/>
      <name val="Arial"/>
      <family val="2"/>
    </font>
    <font>
      <b/>
      <sz val="12"/>
      <color indexed="8"/>
      <name val="Arial"/>
      <family val="2"/>
    </font>
    <font>
      <b/>
      <sz val="12"/>
      <color indexed="12"/>
      <name val="Arial"/>
      <family val="2"/>
    </font>
    <font>
      <sz val="12"/>
      <name val="Courier"/>
      <family val="3"/>
    </font>
    <font>
      <u/>
      <sz val="12"/>
      <color indexed="12"/>
      <name val="Arial"/>
      <family val="2"/>
    </font>
    <font>
      <b/>
      <sz val="12"/>
      <color indexed="81"/>
      <name val="Arial"/>
      <family val="2"/>
    </font>
    <font>
      <sz val="12"/>
      <color indexed="81"/>
      <name val="Arial"/>
      <family val="2"/>
    </font>
    <font>
      <b/>
      <sz val="12"/>
      <color indexed="81"/>
      <name val="Tahoma"/>
      <family val="2"/>
    </font>
    <font>
      <b/>
      <vertAlign val="subscript"/>
      <sz val="12"/>
      <color indexed="12"/>
      <name val="Arial"/>
      <family val="2"/>
    </font>
    <font>
      <b/>
      <sz val="12"/>
      <color theme="3" tint="0.39997558519241921"/>
      <name val="Arial"/>
      <family val="2"/>
    </font>
    <font>
      <b/>
      <sz val="12"/>
      <color rgb="FF0000FF"/>
      <name val="Arial"/>
      <family val="2"/>
    </font>
  </fonts>
  <fills count="8">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theme="0" tint="-0.249977111117893"/>
        <bgColor indexed="42"/>
      </patternFill>
    </fill>
    <fill>
      <patternFill patternType="solid">
        <fgColor theme="0" tint="-0.249977111117893"/>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cellStyleXfs>
  <cellXfs count="115">
    <xf numFmtId="0" fontId="0" fillId="0" borderId="0" xfId="0"/>
    <xf numFmtId="0" fontId="3" fillId="0" borderId="0" xfId="3" applyFont="1"/>
    <xf numFmtId="0" fontId="2" fillId="0" borderId="0" xfId="3"/>
    <xf numFmtId="168" fontId="2" fillId="0" borderId="0" xfId="3" applyNumberFormat="1"/>
    <xf numFmtId="0" fontId="3" fillId="0" borderId="0" xfId="3" applyFont="1" applyProtection="1"/>
    <xf numFmtId="0" fontId="3" fillId="0" borderId="0" xfId="3" applyFont="1" applyAlignment="1" applyProtection="1">
      <alignment horizontal="center"/>
    </xf>
    <xf numFmtId="168" fontId="3" fillId="0" borderId="0" xfId="3" applyNumberFormat="1" applyFont="1" applyAlignment="1" applyProtection="1">
      <alignment horizontal="center"/>
    </xf>
    <xf numFmtId="0" fontId="3" fillId="0" borderId="0" xfId="3" applyFont="1" applyAlignment="1" applyProtection="1">
      <alignment horizontal="left"/>
    </xf>
    <xf numFmtId="169" fontId="3" fillId="0" borderId="0" xfId="3" applyNumberFormat="1" applyFont="1" applyAlignment="1" applyProtection="1">
      <alignment horizontal="center"/>
    </xf>
    <xf numFmtId="169" fontId="2" fillId="0" borderId="0" xfId="3" applyNumberFormat="1"/>
    <xf numFmtId="165" fontId="3" fillId="0" borderId="0" xfId="3" applyNumberFormat="1" applyFont="1" applyProtection="1"/>
    <xf numFmtId="166" fontId="2" fillId="0" borderId="0" xfId="3" applyNumberFormat="1"/>
    <xf numFmtId="165" fontId="3" fillId="0" borderId="0" xfId="3" applyNumberFormat="1" applyFont="1" applyAlignment="1" applyProtection="1">
      <alignment horizontal="center"/>
    </xf>
    <xf numFmtId="165" fontId="2" fillId="0" borderId="0" xfId="3" applyNumberFormat="1"/>
    <xf numFmtId="0" fontId="4" fillId="0" borderId="0" xfId="3" applyFont="1"/>
    <xf numFmtId="0" fontId="3" fillId="4" borderId="0" xfId="3" applyFont="1" applyFill="1" applyBorder="1"/>
    <xf numFmtId="0" fontId="3" fillId="4" borderId="0" xfId="3" applyFont="1" applyFill="1" applyBorder="1" applyProtection="1"/>
    <xf numFmtId="168" fontId="3" fillId="4" borderId="0" xfId="3" applyNumberFormat="1" applyFont="1" applyFill="1" applyBorder="1" applyProtection="1"/>
    <xf numFmtId="166" fontId="3" fillId="4" borderId="0" xfId="3" applyNumberFormat="1" applyFont="1" applyFill="1" applyBorder="1" applyProtection="1"/>
    <xf numFmtId="165" fontId="3" fillId="4" borderId="0" xfId="3" applyNumberFormat="1" applyFont="1" applyFill="1" applyBorder="1" applyProtection="1"/>
    <xf numFmtId="9" fontId="3" fillId="4" borderId="0" xfId="3" applyNumberFormat="1" applyFont="1" applyFill="1" applyBorder="1" applyProtection="1"/>
    <xf numFmtId="0" fontId="2" fillId="0" borderId="0" xfId="3" applyProtection="1">
      <protection locked="0"/>
    </xf>
    <xf numFmtId="2" fontId="8" fillId="0" borderId="0" xfId="0" applyNumberFormat="1" applyFont="1" applyProtection="1"/>
    <xf numFmtId="0" fontId="9" fillId="2" borderId="1" xfId="3" applyFont="1" applyFill="1" applyBorder="1" applyAlignment="1" applyProtection="1">
      <alignment horizontal="left"/>
    </xf>
    <xf numFmtId="0" fontId="9" fillId="2" borderId="2" xfId="3" applyFont="1" applyFill="1" applyBorder="1" applyProtection="1"/>
    <xf numFmtId="0" fontId="9" fillId="2" borderId="2" xfId="3" applyFont="1" applyFill="1" applyBorder="1" applyAlignment="1" applyProtection="1">
      <alignment horizontal="left"/>
    </xf>
    <xf numFmtId="0" fontId="9" fillId="2" borderId="2" xfId="3" applyFont="1" applyFill="1" applyBorder="1"/>
    <xf numFmtId="0" fontId="9" fillId="2" borderId="3" xfId="3" applyFont="1" applyFill="1" applyBorder="1"/>
    <xf numFmtId="165" fontId="9" fillId="2" borderId="4" xfId="3" applyNumberFormat="1" applyFont="1" applyFill="1" applyBorder="1" applyProtection="1"/>
    <xf numFmtId="0" fontId="9" fillId="2" borderId="0" xfId="3" applyFont="1" applyFill="1" applyBorder="1"/>
    <xf numFmtId="165" fontId="9" fillId="2" borderId="0" xfId="3" applyNumberFormat="1" applyFont="1" applyFill="1" applyBorder="1" applyProtection="1"/>
    <xf numFmtId="0" fontId="9" fillId="2" borderId="0" xfId="3" applyFont="1" applyFill="1" applyBorder="1" applyAlignment="1" applyProtection="1">
      <alignment horizontal="left"/>
    </xf>
    <xf numFmtId="164" fontId="9" fillId="2" borderId="5" xfId="3" applyNumberFormat="1" applyFont="1" applyFill="1" applyBorder="1" applyAlignment="1" applyProtection="1">
      <alignment horizontal="center"/>
    </xf>
    <xf numFmtId="0" fontId="9" fillId="2" borderId="4" xfId="3" applyFont="1" applyFill="1" applyBorder="1" applyProtection="1"/>
    <xf numFmtId="0" fontId="10" fillId="3" borderId="6" xfId="3" applyFont="1" applyFill="1" applyBorder="1" applyAlignment="1" applyProtection="1">
      <alignment horizontal="center"/>
      <protection locked="0"/>
    </xf>
    <xf numFmtId="0" fontId="9" fillId="2" borderId="0" xfId="3" applyFont="1" applyFill="1" applyBorder="1" applyProtection="1"/>
    <xf numFmtId="0" fontId="9" fillId="2" borderId="5" xfId="3" applyFont="1" applyFill="1" applyBorder="1" applyAlignment="1" applyProtection="1">
      <alignment horizontal="left"/>
    </xf>
    <xf numFmtId="0" fontId="9" fillId="2" borderId="5" xfId="3" applyFont="1" applyFill="1" applyBorder="1"/>
    <xf numFmtId="0" fontId="9" fillId="4" borderId="7" xfId="3" applyFont="1" applyFill="1" applyBorder="1" applyAlignment="1" applyProtection="1">
      <alignment horizontal="fill"/>
    </xf>
    <xf numFmtId="0" fontId="5" fillId="5" borderId="2" xfId="0" applyFont="1" applyFill="1" applyBorder="1" applyAlignment="1" applyProtection="1">
      <alignment horizontal="center"/>
    </xf>
    <xf numFmtId="0" fontId="9" fillId="2" borderId="0" xfId="2" applyFont="1" applyFill="1" applyBorder="1"/>
    <xf numFmtId="0" fontId="9" fillId="2" borderId="4" xfId="3" applyFont="1" applyFill="1" applyBorder="1" applyAlignment="1" applyProtection="1">
      <alignment horizontal="left"/>
    </xf>
    <xf numFmtId="0" fontId="9" fillId="2" borderId="0" xfId="3" applyFont="1" applyFill="1" applyBorder="1" applyAlignment="1" applyProtection="1">
      <alignment horizontal="center"/>
    </xf>
    <xf numFmtId="166" fontId="9" fillId="2" borderId="0" xfId="3" applyNumberFormat="1" applyFont="1" applyFill="1" applyBorder="1" applyProtection="1"/>
    <xf numFmtId="0" fontId="9" fillId="2" borderId="5" xfId="3" applyFont="1" applyFill="1" applyBorder="1" applyProtection="1"/>
    <xf numFmtId="10" fontId="9" fillId="2" borderId="5" xfId="3" applyNumberFormat="1" applyFont="1" applyFill="1" applyBorder="1" applyProtection="1"/>
    <xf numFmtId="166" fontId="10" fillId="3" borderId="6" xfId="3" applyNumberFormat="1" applyFont="1" applyFill="1" applyBorder="1" applyAlignment="1" applyProtection="1">
      <alignment horizontal="center"/>
      <protection locked="0"/>
    </xf>
    <xf numFmtId="9" fontId="10" fillId="3" borderId="6" xfId="3" applyNumberFormat="1" applyFont="1" applyFill="1" applyBorder="1" applyAlignment="1" applyProtection="1">
      <alignment horizontal="center"/>
      <protection locked="0"/>
    </xf>
    <xf numFmtId="166" fontId="9" fillId="2" borderId="5" xfId="3" applyNumberFormat="1" applyFont="1" applyFill="1" applyBorder="1" applyAlignment="1" applyProtection="1">
      <alignment horizontal="center"/>
    </xf>
    <xf numFmtId="10" fontId="9" fillId="2" borderId="5" xfId="3" applyNumberFormat="1" applyFont="1" applyFill="1" applyBorder="1" applyAlignment="1" applyProtection="1">
      <alignment horizontal="center"/>
    </xf>
    <xf numFmtId="165" fontId="9" fillId="2" borderId="5" xfId="3" applyNumberFormat="1" applyFont="1" applyFill="1" applyBorder="1" applyAlignment="1" applyProtection="1">
      <alignment horizontal="center"/>
    </xf>
    <xf numFmtId="165" fontId="9" fillId="2" borderId="8" xfId="3" applyNumberFormat="1" applyFont="1" applyFill="1" applyBorder="1" applyProtection="1"/>
    <xf numFmtId="0" fontId="10" fillId="5" borderId="9" xfId="3" applyFont="1" applyFill="1" applyBorder="1" applyAlignment="1" applyProtection="1">
      <alignment horizontal="center"/>
      <protection locked="0"/>
    </xf>
    <xf numFmtId="0" fontId="9" fillId="2" borderId="5" xfId="3" applyFont="1" applyFill="1" applyBorder="1" applyAlignment="1" applyProtection="1">
      <alignment horizontal="center"/>
    </xf>
    <xf numFmtId="0" fontId="9" fillId="2" borderId="4" xfId="3" applyFont="1" applyFill="1" applyBorder="1" applyAlignment="1" applyProtection="1">
      <alignment horizontal="left"/>
      <protection locked="0"/>
    </xf>
    <xf numFmtId="0" fontId="9" fillId="2" borderId="0" xfId="3" applyFont="1" applyFill="1" applyBorder="1" applyProtection="1">
      <protection locked="0"/>
    </xf>
    <xf numFmtId="0" fontId="9" fillId="2" borderId="0" xfId="3" applyFont="1" applyFill="1" applyBorder="1" applyAlignment="1" applyProtection="1">
      <alignment horizontal="center"/>
      <protection locked="0"/>
    </xf>
    <xf numFmtId="10" fontId="9" fillId="2" borderId="0" xfId="3" applyNumberFormat="1" applyFont="1" applyFill="1" applyBorder="1" applyProtection="1">
      <protection locked="0"/>
    </xf>
    <xf numFmtId="165" fontId="9" fillId="2" borderId="5" xfId="3" applyNumberFormat="1" applyFont="1" applyFill="1" applyBorder="1" applyProtection="1"/>
    <xf numFmtId="0" fontId="10" fillId="5" borderId="5" xfId="3" applyFont="1" applyFill="1" applyBorder="1" applyAlignment="1" applyProtection="1">
      <alignment horizontal="left"/>
      <protection locked="0"/>
    </xf>
    <xf numFmtId="169" fontId="9" fillId="2" borderId="0" xfId="3" applyNumberFormat="1" applyFont="1" applyFill="1" applyBorder="1" applyAlignment="1" applyProtection="1">
      <alignment horizontal="center"/>
    </xf>
    <xf numFmtId="169" fontId="9" fillId="2" borderId="5" xfId="3" applyNumberFormat="1" applyFont="1" applyFill="1" applyBorder="1" applyAlignment="1" applyProtection="1">
      <alignment horizontal="center"/>
    </xf>
    <xf numFmtId="0" fontId="9" fillId="2" borderId="0" xfId="3" quotePrefix="1" applyFont="1" applyFill="1" applyBorder="1" applyProtection="1">
      <protection locked="0"/>
    </xf>
    <xf numFmtId="0" fontId="10" fillId="5" borderId="0" xfId="3" applyFont="1" applyFill="1" applyBorder="1" applyAlignment="1" applyProtection="1">
      <alignment horizontal="left"/>
      <protection locked="0"/>
    </xf>
    <xf numFmtId="167" fontId="10" fillId="3" borderId="6" xfId="4" applyNumberFormat="1" applyFont="1" applyFill="1" applyBorder="1" applyAlignment="1" applyProtection="1">
      <alignment horizontal="center"/>
      <protection locked="0"/>
    </xf>
    <xf numFmtId="168" fontId="9" fillId="2" borderId="0" xfId="3" applyNumberFormat="1" applyFont="1" applyFill="1" applyBorder="1" applyAlignment="1" applyProtection="1">
      <alignment horizontal="center"/>
    </xf>
    <xf numFmtId="168" fontId="9" fillId="2" borderId="5" xfId="3" applyNumberFormat="1" applyFont="1" applyFill="1" applyBorder="1" applyAlignment="1" applyProtection="1">
      <alignment horizontal="center"/>
    </xf>
    <xf numFmtId="0" fontId="9" fillId="2" borderId="4" xfId="3" quotePrefix="1" applyFont="1" applyFill="1" applyBorder="1" applyAlignment="1" applyProtection="1">
      <alignment horizontal="left"/>
      <protection locked="0"/>
    </xf>
    <xf numFmtId="166" fontId="9" fillId="2" borderId="0" xfId="3" applyNumberFormat="1" applyFont="1" applyFill="1" applyBorder="1" applyProtection="1">
      <protection locked="0"/>
    </xf>
    <xf numFmtId="168" fontId="9" fillId="2" borderId="0" xfId="3" applyNumberFormat="1" applyFont="1" applyFill="1" applyBorder="1" applyProtection="1"/>
    <xf numFmtId="168" fontId="9" fillId="2" borderId="5" xfId="3" applyNumberFormat="1" applyFont="1" applyFill="1" applyBorder="1" applyProtection="1"/>
    <xf numFmtId="0" fontId="9" fillId="2" borderId="4" xfId="3" applyFont="1" applyFill="1" applyBorder="1" applyProtection="1">
      <protection locked="0"/>
    </xf>
    <xf numFmtId="166" fontId="9" fillId="2" borderId="0" xfId="3" applyNumberFormat="1" applyFont="1" applyFill="1" applyBorder="1" applyAlignment="1" applyProtection="1">
      <alignment horizontal="center"/>
      <protection locked="0"/>
    </xf>
    <xf numFmtId="165" fontId="9" fillId="2" borderId="0" xfId="3" applyNumberFormat="1" applyFont="1" applyFill="1" applyBorder="1" applyProtection="1">
      <protection locked="0"/>
    </xf>
    <xf numFmtId="165" fontId="9" fillId="2" borderId="4" xfId="3" applyNumberFormat="1" applyFont="1" applyFill="1" applyBorder="1" applyProtection="1">
      <protection locked="0"/>
    </xf>
    <xf numFmtId="0" fontId="10" fillId="2" borderId="4" xfId="3" applyFont="1" applyFill="1" applyBorder="1" applyAlignment="1" applyProtection="1">
      <alignment horizontal="left"/>
      <protection locked="0"/>
    </xf>
    <xf numFmtId="168" fontId="9" fillId="2" borderId="0" xfId="3" applyNumberFormat="1" applyFont="1" applyFill="1" applyBorder="1" applyProtection="1">
      <protection locked="0"/>
    </xf>
    <xf numFmtId="166" fontId="9" fillId="2" borderId="0" xfId="3" applyNumberFormat="1" applyFont="1" applyFill="1" applyBorder="1" applyAlignment="1" applyProtection="1">
      <alignment horizontal="center"/>
    </xf>
    <xf numFmtId="9" fontId="9" fillId="2" borderId="0" xfId="3" applyNumberFormat="1" applyFont="1" applyFill="1" applyBorder="1" applyAlignment="1" applyProtection="1">
      <alignment horizontal="center"/>
    </xf>
    <xf numFmtId="0" fontId="10" fillId="5" borderId="0" xfId="3" applyFont="1" applyFill="1" applyBorder="1" applyAlignment="1" applyProtection="1">
      <alignment horizontal="center"/>
      <protection locked="0"/>
    </xf>
    <xf numFmtId="0" fontId="5" fillId="5" borderId="0" xfId="0" applyFont="1" applyFill="1" applyBorder="1" applyAlignment="1" applyProtection="1"/>
    <xf numFmtId="0" fontId="5" fillId="5" borderId="0" xfId="0" applyFont="1" applyFill="1" applyBorder="1" applyAlignment="1" applyProtection="1">
      <alignment horizontal="right"/>
    </xf>
    <xf numFmtId="0" fontId="5" fillId="5" borderId="0" xfId="0" applyFont="1" applyFill="1" applyBorder="1" applyAlignment="1" applyProtection="1">
      <alignment horizontal="left"/>
    </xf>
    <xf numFmtId="166" fontId="5" fillId="5" borderId="5" xfId="0" applyNumberFormat="1" applyFont="1" applyFill="1" applyBorder="1" applyAlignment="1" applyProtection="1">
      <alignment horizontal="center"/>
    </xf>
    <xf numFmtId="165" fontId="9" fillId="2" borderId="5" xfId="3" applyNumberFormat="1" applyFont="1" applyFill="1" applyBorder="1" applyAlignment="1" applyProtection="1">
      <alignment horizontal="left"/>
    </xf>
    <xf numFmtId="0" fontId="9" fillId="2" borderId="0" xfId="3" applyFont="1" applyFill="1" applyBorder="1" applyAlignment="1">
      <alignment horizontal="center"/>
    </xf>
    <xf numFmtId="9" fontId="9" fillId="2" borderId="0" xfId="3" applyNumberFormat="1" applyFont="1" applyFill="1" applyBorder="1" applyProtection="1"/>
    <xf numFmtId="0" fontId="10" fillId="5" borderId="8" xfId="3" applyFont="1" applyFill="1" applyBorder="1" applyAlignment="1" applyProtection="1">
      <alignment horizontal="center"/>
      <protection locked="0"/>
    </xf>
    <xf numFmtId="0" fontId="11" fillId="0" borderId="1" xfId="0" applyFont="1" applyBorder="1"/>
    <xf numFmtId="0" fontId="9" fillId="4" borderId="2" xfId="0" applyFont="1" applyFill="1" applyBorder="1" applyAlignment="1" applyProtection="1">
      <alignment horizontal="fill"/>
    </xf>
    <xf numFmtId="0" fontId="9" fillId="4" borderId="3" xfId="0" applyFont="1" applyFill="1" applyBorder="1" applyAlignment="1" applyProtection="1">
      <alignment horizontal="fill"/>
    </xf>
    <xf numFmtId="0" fontId="9" fillId="4" borderId="4" xfId="0" quotePrefix="1" applyFont="1" applyFill="1" applyBorder="1" applyAlignment="1">
      <alignment horizontal="left"/>
    </xf>
    <xf numFmtId="0" fontId="9" fillId="4" borderId="0" xfId="0" applyFont="1" applyFill="1" applyBorder="1"/>
    <xf numFmtId="0" fontId="9" fillId="4" borderId="4" xfId="0" quotePrefix="1" applyFont="1" applyFill="1" applyBorder="1" applyAlignment="1">
      <alignment horizontal="center"/>
    </xf>
    <xf numFmtId="0" fontId="9" fillId="4" borderId="5" xfId="0" applyFont="1" applyFill="1" applyBorder="1"/>
    <xf numFmtId="0" fontId="9" fillId="4" borderId="4" xfId="0" applyFont="1" applyFill="1" applyBorder="1"/>
    <xf numFmtId="0" fontId="9" fillId="4" borderId="4" xfId="0" quotePrefix="1" applyFont="1" applyFill="1" applyBorder="1" applyAlignment="1" applyProtection="1">
      <alignment horizontal="center"/>
    </xf>
    <xf numFmtId="9" fontId="9" fillId="4" borderId="0" xfId="0" applyNumberFormat="1" applyFont="1" applyFill="1" applyBorder="1" applyProtection="1"/>
    <xf numFmtId="0" fontId="11" fillId="0" borderId="4" xfId="0" applyFont="1" applyBorder="1"/>
    <xf numFmtId="0" fontId="12" fillId="4" borderId="4" xfId="1" applyFont="1" applyFill="1" applyBorder="1" applyAlignment="1" applyProtection="1">
      <alignment horizontal="center"/>
    </xf>
    <xf numFmtId="0" fontId="9" fillId="4" borderId="10" xfId="0" applyFont="1" applyFill="1" applyBorder="1"/>
    <xf numFmtId="0" fontId="9" fillId="4" borderId="8" xfId="0" applyFont="1" applyFill="1" applyBorder="1"/>
    <xf numFmtId="9" fontId="9" fillId="4" borderId="8" xfId="0" applyNumberFormat="1" applyFont="1" applyFill="1" applyBorder="1" applyProtection="1"/>
    <xf numFmtId="168" fontId="9" fillId="4" borderId="8" xfId="0" applyNumberFormat="1" applyFont="1" applyFill="1" applyBorder="1" applyProtection="1"/>
    <xf numFmtId="168" fontId="9" fillId="4" borderId="9" xfId="0" applyNumberFormat="1" applyFont="1" applyFill="1" applyBorder="1" applyProtection="1"/>
    <xf numFmtId="0" fontId="12" fillId="4" borderId="8" xfId="1" applyFont="1" applyFill="1" applyBorder="1" applyAlignment="1" applyProtection="1">
      <alignment horizontal="center"/>
    </xf>
    <xf numFmtId="0" fontId="9" fillId="4" borderId="0" xfId="0" applyFont="1" applyFill="1" applyBorder="1" applyAlignment="1" applyProtection="1">
      <alignment horizontal="center"/>
    </xf>
    <xf numFmtId="0" fontId="5" fillId="0" borderId="0" xfId="5" applyFont="1"/>
    <xf numFmtId="169" fontId="10" fillId="3" borderId="6" xfId="3" applyNumberFormat="1" applyFont="1" applyFill="1" applyBorder="1" applyAlignment="1" applyProtection="1">
      <alignment horizontal="center"/>
      <protection locked="0"/>
    </xf>
    <xf numFmtId="1" fontId="10" fillId="3" borderId="6" xfId="3" applyNumberFormat="1" applyFont="1" applyFill="1" applyBorder="1" applyAlignment="1" applyProtection="1">
      <alignment horizontal="center"/>
      <protection locked="0"/>
    </xf>
    <xf numFmtId="0" fontId="10" fillId="7" borderId="6" xfId="3" applyFont="1" applyFill="1" applyBorder="1" applyAlignment="1" applyProtection="1">
      <alignment horizontal="center"/>
      <protection locked="0"/>
    </xf>
    <xf numFmtId="0" fontId="10" fillId="5" borderId="5" xfId="3" applyFont="1" applyFill="1" applyBorder="1" applyAlignment="1" applyProtection="1">
      <alignment horizontal="center"/>
      <protection locked="0"/>
    </xf>
    <xf numFmtId="0" fontId="17" fillId="6" borderId="6" xfId="3" applyFont="1" applyFill="1" applyBorder="1" applyProtection="1">
      <protection locked="0"/>
    </xf>
    <xf numFmtId="0" fontId="18" fillId="5" borderId="5" xfId="3" applyFont="1" applyFill="1" applyBorder="1" applyAlignment="1" applyProtection="1">
      <alignment horizontal="center"/>
      <protection locked="0"/>
    </xf>
    <xf numFmtId="0" fontId="18" fillId="6" borderId="6" xfId="3" applyFont="1" applyFill="1" applyBorder="1" applyProtection="1">
      <protection locked="0"/>
    </xf>
  </cellXfs>
  <cellStyles count="6">
    <cellStyle name="Hyperlink" xfId="1" builtinId="8"/>
    <cellStyle name="Normal" xfId="0" builtinId="0"/>
    <cellStyle name="Normal_Corn2" xfId="2" xr:uid="{00000000-0005-0000-0000-000002000000}"/>
    <cellStyle name="Normal_Raspc2" xfId="5" xr:uid="{00000000-0005-0000-0000-000003000000}"/>
    <cellStyle name="Normal_Scanol" xfId="3" xr:uid="{00000000-0005-0000-0000-000004000000}"/>
    <cellStyle name="Normal_Wwheat" xfId="4" xr:uid="{00000000-0005-0000-0000-000005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731999</xdr:colOff>
      <xdr:row>3</xdr:row>
      <xdr:rowOff>1043</xdr:rowOff>
    </xdr:to>
    <xdr:pic>
      <xdr:nvPicPr>
        <xdr:cNvPr id="3" name="Picture 2" descr="This is the Ontario Trillium logo">
          <a:extLst>
            <a:ext uri="{FF2B5EF4-FFF2-40B4-BE49-F238E27FC236}">
              <a16:creationId xmlns:a16="http://schemas.microsoft.com/office/drawing/2014/main" id="{00748D70-415D-4ECB-94FA-3C8FFE26B0C6}"/>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3"/>
  <sheetViews>
    <sheetView showGridLines="0" tabSelected="1" zoomScaleNormal="100" zoomScaleSheetLayoutView="100" workbookViewId="0">
      <selection activeCell="G3" sqref="G3"/>
    </sheetView>
  </sheetViews>
  <sheetFormatPr defaultColWidth="11.08984375" defaultRowHeight="12.5" x14ac:dyDescent="0.25"/>
  <cols>
    <col min="1" max="8" width="15.7265625" style="2" customWidth="1"/>
    <col min="9" max="12" width="11" style="2" hidden="1" customWidth="1"/>
    <col min="13" max="18" width="11.08984375" style="2" hidden="1" customWidth="1"/>
    <col min="19" max="19" width="8.81640625" style="2" hidden="1" customWidth="1"/>
    <col min="20" max="20" width="3.08984375" style="2" hidden="1" customWidth="1"/>
    <col min="21" max="21" width="19.08984375" style="2" hidden="1" customWidth="1"/>
    <col min="22" max="27" width="11.08984375" style="2" hidden="1" customWidth="1"/>
    <col min="28" max="28" width="0" style="2" hidden="1" customWidth="1"/>
    <col min="29" max="40" width="11.08984375" style="2"/>
    <col min="41" max="41" width="13.26953125" style="2" customWidth="1"/>
    <col min="42" max="49" width="8.81640625" style="2" customWidth="1"/>
    <col min="50" max="50" width="6.54296875" style="2" customWidth="1"/>
    <col min="51" max="240" width="11.08984375" style="2"/>
    <col min="241" max="241" width="8.81640625" style="2" customWidth="1"/>
    <col min="242" max="242" width="3.08984375" style="2" customWidth="1"/>
    <col min="243" max="249" width="11.08984375" style="2"/>
    <col min="250" max="250" width="8.81640625" style="2" customWidth="1"/>
    <col min="251" max="251" width="3.08984375" style="2" customWidth="1"/>
    <col min="252" max="16384" width="11.08984375" style="2"/>
  </cols>
  <sheetData>
    <row r="1" spans="1:34" ht="15.5" x14ac:dyDescent="0.35">
      <c r="A1" s="107" t="s">
        <v>141</v>
      </c>
    </row>
    <row r="2" spans="1:34" ht="15.5" x14ac:dyDescent="0.35">
      <c r="A2" s="23"/>
      <c r="B2" s="24"/>
      <c r="C2" s="25" t="s">
        <v>130</v>
      </c>
      <c r="D2" s="26"/>
      <c r="E2" s="26"/>
      <c r="F2" s="26"/>
      <c r="G2" s="25" t="s">
        <v>147</v>
      </c>
      <c r="H2" s="27"/>
      <c r="I2" s="1"/>
      <c r="J2" s="1"/>
      <c r="K2" s="1"/>
      <c r="L2" s="1"/>
      <c r="AA2" s="3">
        <f ca="1">E81</f>
        <v>-8.5693475329999274</v>
      </c>
      <c r="AB2" s="21"/>
      <c r="AC2" s="21"/>
      <c r="AD2" s="21"/>
      <c r="AE2" s="21"/>
      <c r="AF2" s="21"/>
      <c r="AG2" s="21"/>
      <c r="AH2" s="21"/>
    </row>
    <row r="3" spans="1:34" ht="17.25" customHeight="1" x14ac:dyDescent="0.35">
      <c r="A3" s="28">
        <v>603</v>
      </c>
      <c r="B3" s="29"/>
      <c r="C3" s="29"/>
      <c r="D3" s="30"/>
      <c r="E3" s="29"/>
      <c r="F3" s="31" t="s">
        <v>123</v>
      </c>
      <c r="G3" s="29"/>
      <c r="H3" s="32">
        <f ca="1">AA2</f>
        <v>-8.5693475329999274</v>
      </c>
      <c r="I3" s="1"/>
      <c r="J3" s="1"/>
      <c r="K3" s="1"/>
      <c r="L3" s="1"/>
      <c r="AA3" s="2">
        <f>C8*D4</f>
        <v>1.2</v>
      </c>
      <c r="AB3" s="21"/>
      <c r="AC3" s="21"/>
      <c r="AD3" s="21"/>
      <c r="AE3" s="21"/>
      <c r="AF3" s="21"/>
      <c r="AG3" s="21"/>
      <c r="AH3" s="21"/>
    </row>
    <row r="4" spans="1:34" ht="15.5" x14ac:dyDescent="0.35">
      <c r="A4" s="33"/>
      <c r="B4" s="31" t="s">
        <v>0</v>
      </c>
      <c r="C4" s="29"/>
      <c r="D4" s="34">
        <v>1</v>
      </c>
      <c r="E4" s="29"/>
      <c r="F4" s="31" t="s">
        <v>1</v>
      </c>
      <c r="G4" s="35">
        <v>44.091999999999999</v>
      </c>
      <c r="H4" s="36" t="s">
        <v>2</v>
      </c>
      <c r="I4" s="1"/>
      <c r="J4" s="1"/>
      <c r="K4" s="1"/>
      <c r="L4" s="1"/>
      <c r="AA4" s="2">
        <f>E8*D4</f>
        <v>1.03</v>
      </c>
      <c r="AB4" s="21"/>
      <c r="AC4" s="21"/>
      <c r="AD4" s="21"/>
      <c r="AE4" s="21"/>
      <c r="AF4" s="21"/>
      <c r="AG4" s="21"/>
      <c r="AH4" s="21"/>
    </row>
    <row r="5" spans="1:34" ht="15.5" x14ac:dyDescent="0.35">
      <c r="A5" s="33"/>
      <c r="B5" s="29"/>
      <c r="C5" s="29"/>
      <c r="D5" s="29"/>
      <c r="E5" s="29"/>
      <c r="F5" s="29"/>
      <c r="G5" s="29"/>
      <c r="H5" s="37"/>
      <c r="I5" s="1"/>
      <c r="J5" s="1"/>
      <c r="K5" s="1"/>
      <c r="L5" s="1"/>
      <c r="AA5" s="2">
        <f>G8*D4</f>
        <v>0.75</v>
      </c>
      <c r="AB5" s="21"/>
      <c r="AC5" s="21"/>
      <c r="AD5" s="21"/>
      <c r="AE5" s="21"/>
      <c r="AF5" s="21"/>
      <c r="AG5" s="21"/>
      <c r="AH5" s="21"/>
    </row>
    <row r="6" spans="1:34" ht="15.5" x14ac:dyDescent="0.35">
      <c r="A6" s="38"/>
      <c r="B6" s="38"/>
      <c r="C6" s="38"/>
      <c r="D6" s="38"/>
      <c r="E6" s="38"/>
      <c r="F6" s="38"/>
      <c r="G6" s="38"/>
      <c r="H6" s="38"/>
      <c r="I6" s="1"/>
      <c r="J6" s="1"/>
      <c r="K6" s="1"/>
      <c r="L6" s="1"/>
      <c r="AA6" s="2">
        <f>0.33*D18</f>
        <v>0.72804973298588938</v>
      </c>
      <c r="AB6" s="21"/>
      <c r="AC6" s="21"/>
      <c r="AD6" s="21"/>
      <c r="AE6" s="21"/>
      <c r="AF6" s="21"/>
      <c r="AG6" s="21"/>
      <c r="AH6" s="21"/>
    </row>
    <row r="7" spans="1:34" ht="15.5" x14ac:dyDescent="0.35">
      <c r="A7" s="33"/>
      <c r="B7" s="29"/>
      <c r="C7" s="39" t="s">
        <v>131</v>
      </c>
      <c r="D7" s="40"/>
      <c r="E7" s="39" t="s">
        <v>132</v>
      </c>
      <c r="F7" s="40"/>
      <c r="G7" s="39" t="s">
        <v>133</v>
      </c>
      <c r="H7" s="37"/>
      <c r="I7" s="1"/>
      <c r="J7" s="1"/>
      <c r="K7" s="1"/>
      <c r="L7" s="1"/>
      <c r="AA7" s="2">
        <f>D4*D18*E40</f>
        <v>2.2062113120784526</v>
      </c>
      <c r="AB7" s="21"/>
      <c r="AC7" s="21"/>
      <c r="AD7" s="21"/>
      <c r="AE7" s="21"/>
      <c r="AF7" s="21"/>
      <c r="AG7" s="21"/>
      <c r="AH7" s="21"/>
    </row>
    <row r="8" spans="1:34" ht="15.5" x14ac:dyDescent="0.35">
      <c r="A8" s="41" t="s">
        <v>3</v>
      </c>
      <c r="B8" s="29"/>
      <c r="C8" s="34">
        <v>1.2</v>
      </c>
      <c r="D8" s="29"/>
      <c r="E8" s="34">
        <v>1.03</v>
      </c>
      <c r="F8" s="29"/>
      <c r="G8" s="34">
        <v>0.75</v>
      </c>
      <c r="H8" s="37"/>
      <c r="I8" s="1"/>
      <c r="J8" s="1"/>
      <c r="K8" s="1"/>
      <c r="L8" s="1"/>
      <c r="AA8" s="3">
        <f>F75</f>
        <v>0</v>
      </c>
      <c r="AB8" s="21"/>
      <c r="AC8" s="21"/>
      <c r="AD8" s="21"/>
      <c r="AE8" s="21"/>
      <c r="AF8" s="21"/>
      <c r="AG8" s="21"/>
      <c r="AH8" s="21"/>
    </row>
    <row r="9" spans="1:34" ht="15.5" x14ac:dyDescent="0.35">
      <c r="A9" s="41" t="s">
        <v>4</v>
      </c>
      <c r="B9" s="29"/>
      <c r="C9" s="34">
        <v>850</v>
      </c>
      <c r="D9" s="29"/>
      <c r="E9" s="34">
        <v>625</v>
      </c>
      <c r="F9" s="29"/>
      <c r="G9" s="34">
        <v>245</v>
      </c>
      <c r="H9" s="37"/>
      <c r="I9" s="1"/>
      <c r="J9" s="1"/>
      <c r="K9" s="1"/>
      <c r="L9" s="1"/>
      <c r="AA9" s="2">
        <f>D15*2204.6</f>
        <v>0</v>
      </c>
      <c r="AB9" s="21"/>
      <c r="AC9" s="21"/>
      <c r="AD9" s="21"/>
      <c r="AE9" s="21"/>
      <c r="AF9" s="21"/>
      <c r="AG9" s="21"/>
      <c r="AH9" s="21"/>
    </row>
    <row r="10" spans="1:34" ht="15.5" x14ac:dyDescent="0.35">
      <c r="A10" s="41" t="s">
        <v>5</v>
      </c>
      <c r="B10" s="29"/>
      <c r="C10" s="42">
        <f>AA3</f>
        <v>1.2</v>
      </c>
      <c r="D10" s="29"/>
      <c r="E10" s="42">
        <f>AA4</f>
        <v>1.03</v>
      </c>
      <c r="F10" s="29"/>
      <c r="G10" s="42">
        <f>AA5</f>
        <v>0.75</v>
      </c>
      <c r="H10" s="37"/>
      <c r="I10" s="1"/>
      <c r="J10" s="1"/>
      <c r="K10" s="1"/>
      <c r="L10" s="1"/>
      <c r="AA10" s="2">
        <f>E8*H15</f>
        <v>0.87549999999999994</v>
      </c>
      <c r="AB10" s="21"/>
      <c r="AC10" s="21"/>
      <c r="AD10" s="21"/>
      <c r="AE10" s="21"/>
      <c r="AF10" s="21"/>
      <c r="AG10" s="21"/>
      <c r="AH10" s="21"/>
    </row>
    <row r="11" spans="1:34" ht="15.5" x14ac:dyDescent="0.35">
      <c r="A11" s="38"/>
      <c r="B11" s="38"/>
      <c r="C11" s="38"/>
      <c r="D11" s="38"/>
      <c r="E11" s="38"/>
      <c r="F11" s="38"/>
      <c r="G11" s="38"/>
      <c r="H11" s="38"/>
      <c r="I11" s="1"/>
      <c r="J11" s="1"/>
      <c r="K11" s="1"/>
      <c r="L11" s="1"/>
      <c r="AA11" s="3">
        <f ca="1">H62</f>
        <v>559.06934753299993</v>
      </c>
      <c r="AB11" s="21"/>
      <c r="AC11" s="21"/>
      <c r="AD11" s="21"/>
      <c r="AE11" s="21"/>
      <c r="AF11" s="21"/>
      <c r="AG11" s="21"/>
      <c r="AH11" s="21"/>
    </row>
    <row r="12" spans="1:34" ht="15.5" x14ac:dyDescent="0.35">
      <c r="A12" s="33"/>
      <c r="B12" s="29"/>
      <c r="C12" s="43"/>
      <c r="D12" s="31" t="s">
        <v>6</v>
      </c>
      <c r="E12" s="43"/>
      <c r="F12" s="29"/>
      <c r="G12" s="43"/>
      <c r="H12" s="44"/>
      <c r="I12" s="1"/>
      <c r="J12" s="1"/>
      <c r="K12" s="1"/>
      <c r="L12" s="1"/>
      <c r="AA12" s="2">
        <f>IF(D19&lt;0.0001,0.0001,IF(D19&gt;1,1,D19))</f>
        <v>1.9417808250057841E-2</v>
      </c>
      <c r="AB12" s="21"/>
      <c r="AC12" s="21"/>
      <c r="AD12" s="21"/>
      <c r="AE12" s="21"/>
      <c r="AF12" s="21"/>
      <c r="AG12" s="21"/>
      <c r="AH12" s="21"/>
    </row>
    <row r="13" spans="1:34" ht="15.5" x14ac:dyDescent="0.35">
      <c r="A13" s="28" t="s">
        <v>119</v>
      </c>
      <c r="B13" s="30"/>
      <c r="C13" s="30"/>
      <c r="D13" s="30"/>
      <c r="E13" s="31" t="s">
        <v>145</v>
      </c>
      <c r="F13" s="29"/>
      <c r="G13" s="43"/>
      <c r="H13" s="45"/>
      <c r="I13" s="1"/>
      <c r="J13" s="1"/>
      <c r="K13" s="4"/>
      <c r="L13" s="1"/>
      <c r="AA13" s="2">
        <f>IF(H19&lt;0.0001,0.0001,IF(H19&gt;1,1,H19))</f>
        <v>0.24614679792718025</v>
      </c>
      <c r="AB13" s="21"/>
      <c r="AC13" s="21"/>
      <c r="AD13" s="21"/>
      <c r="AE13" s="21"/>
      <c r="AF13" s="21"/>
      <c r="AG13" s="21"/>
      <c r="AH13" s="21"/>
    </row>
    <row r="14" spans="1:34" ht="15.5" x14ac:dyDescent="0.35">
      <c r="A14" s="28" t="s">
        <v>7</v>
      </c>
      <c r="B14" s="30"/>
      <c r="C14" s="30"/>
      <c r="D14" s="30">
        <f>AA6</f>
        <v>0.72804973298588938</v>
      </c>
      <c r="E14" s="31" t="s">
        <v>146</v>
      </c>
      <c r="F14" s="29"/>
      <c r="G14" s="35"/>
      <c r="H14" s="46">
        <v>21.8</v>
      </c>
      <c r="I14" s="1"/>
      <c r="J14" s="1"/>
      <c r="K14" s="5">
        <f>AA7</f>
        <v>2.2062113120784526</v>
      </c>
      <c r="L14" s="1"/>
      <c r="AA14" s="3">
        <f ca="1">H71</f>
        <v>93.25</v>
      </c>
      <c r="AB14" s="21"/>
      <c r="AC14" s="21"/>
      <c r="AD14" s="21"/>
      <c r="AE14" s="21"/>
      <c r="AF14" s="21"/>
      <c r="AG14" s="21"/>
      <c r="AH14" s="21"/>
    </row>
    <row r="15" spans="1:34" ht="15.5" x14ac:dyDescent="0.35">
      <c r="A15" s="28" t="s">
        <v>8</v>
      </c>
      <c r="B15" s="30"/>
      <c r="C15" s="30"/>
      <c r="D15" s="30" t="s">
        <v>9</v>
      </c>
      <c r="E15" s="31" t="s">
        <v>10</v>
      </c>
      <c r="F15" s="29"/>
      <c r="G15" s="35"/>
      <c r="H15" s="47">
        <v>0.85</v>
      </c>
      <c r="I15" s="1"/>
      <c r="J15" s="1"/>
      <c r="K15" s="6">
        <f>AA8</f>
        <v>0</v>
      </c>
      <c r="L15" s="1"/>
      <c r="AA15" s="2">
        <f>E8*(D19*(D16-E9)+((C9-G9)/2)*EXP(-0.5*((D16-E9)/((C9-G9)/2))^2)/SQRT(2*PI()))</f>
        <v>2.2062113120784526</v>
      </c>
      <c r="AB15" s="21"/>
      <c r="AC15" s="21"/>
      <c r="AD15" s="21"/>
      <c r="AE15" s="21"/>
      <c r="AF15" s="21"/>
      <c r="AG15" s="21"/>
      <c r="AH15" s="21"/>
    </row>
    <row r="16" spans="1:34" ht="15.5" x14ac:dyDescent="0.35">
      <c r="A16" s="28" t="s">
        <v>11</v>
      </c>
      <c r="B16" s="30"/>
      <c r="C16" s="30"/>
      <c r="D16" s="30">
        <f>AA9</f>
        <v>0</v>
      </c>
      <c r="E16" s="31" t="s">
        <v>12</v>
      </c>
      <c r="F16" s="35"/>
      <c r="G16" s="35"/>
      <c r="H16" s="48">
        <f>AA10</f>
        <v>0.87549999999999994</v>
      </c>
      <c r="I16" s="1"/>
      <c r="J16" s="1"/>
      <c r="K16" s="6">
        <f ca="1">AA11</f>
        <v>559.06934753299993</v>
      </c>
      <c r="L16" s="1"/>
      <c r="AA16" s="2">
        <f>E9*(H19*(H16-E8)+((C8-G8)/2)*EXP(-0.5*((H16-E8)/((C8-G8)/2))^2)/SQRT(2*PI()))</f>
        <v>20.549971412593234</v>
      </c>
      <c r="AB16" s="21"/>
      <c r="AC16" s="21"/>
      <c r="AD16" s="21"/>
      <c r="AE16" s="21"/>
      <c r="AF16" s="21"/>
      <c r="AG16" s="21"/>
      <c r="AH16" s="21"/>
    </row>
    <row r="17" spans="1:34" ht="15.5" x14ac:dyDescent="0.35">
      <c r="A17" s="28" t="s">
        <v>13</v>
      </c>
      <c r="B17" s="30"/>
      <c r="C17" s="30"/>
      <c r="D17" s="30">
        <f>AA12</f>
        <v>1.9417808250057841E-2</v>
      </c>
      <c r="E17" s="31" t="s">
        <v>14</v>
      </c>
      <c r="F17" s="35"/>
      <c r="G17" s="35"/>
      <c r="H17" s="49">
        <f>AA13</f>
        <v>0.24614679792718025</v>
      </c>
      <c r="I17" s="1"/>
      <c r="J17" s="1"/>
      <c r="K17" s="6">
        <f ca="1">AA14</f>
        <v>93.25</v>
      </c>
      <c r="L17" s="1"/>
      <c r="AA17" s="3">
        <f>F74</f>
        <v>643.75</v>
      </c>
      <c r="AB17" s="21"/>
      <c r="AC17" s="21"/>
      <c r="AD17" s="21"/>
      <c r="AE17" s="21"/>
      <c r="AF17" s="21"/>
      <c r="AG17" s="21"/>
      <c r="AH17" s="21"/>
    </row>
    <row r="18" spans="1:34" ht="15.5" x14ac:dyDescent="0.35">
      <c r="A18" s="28" t="s">
        <v>15</v>
      </c>
      <c r="B18" s="30"/>
      <c r="C18" s="30"/>
      <c r="D18" s="30">
        <f>AA15</f>
        <v>2.2062113120784526</v>
      </c>
      <c r="E18" s="31" t="s">
        <v>16</v>
      </c>
      <c r="F18" s="35"/>
      <c r="G18" s="35"/>
      <c r="H18" s="32">
        <f>AA16</f>
        <v>20.549971412593234</v>
      </c>
      <c r="I18" s="1"/>
      <c r="J18" s="1"/>
      <c r="K18" s="6">
        <f>AA17</f>
        <v>643.75</v>
      </c>
      <c r="L18" s="1"/>
      <c r="AA18" s="2">
        <f>(EXP(-0.5*((E9-D16)/((C9-G9)/2))^2)/SQRT(2*PI()))*(0.43618*(K31^(-1))-0.1202*(K31^(-2))+0.9373*(K31^(-3)))</f>
        <v>1.9417808250057841E-2</v>
      </c>
      <c r="AB18" s="21"/>
      <c r="AC18" s="21"/>
      <c r="AD18" s="21"/>
      <c r="AE18" s="21"/>
      <c r="AF18" s="21"/>
      <c r="AG18" s="21"/>
      <c r="AH18" s="21"/>
    </row>
    <row r="19" spans="1:34" ht="15.5" x14ac:dyDescent="0.35">
      <c r="A19" s="28"/>
      <c r="B19" s="30"/>
      <c r="C19" s="30"/>
      <c r="D19" s="30">
        <f>AA18</f>
        <v>1.9417808250057841E-2</v>
      </c>
      <c r="E19" s="35"/>
      <c r="F19" s="35"/>
      <c r="G19" s="35"/>
      <c r="H19" s="50">
        <f>AA19</f>
        <v>0.24614679792718025</v>
      </c>
      <c r="I19" s="1"/>
      <c r="J19" s="1"/>
      <c r="K19" s="5">
        <f>AA20</f>
        <v>356.18800418493737</v>
      </c>
      <c r="L19" s="1"/>
      <c r="AA19" s="2">
        <f>(EXP(-0.5*((E8-H16)/((C8-G8)/2))^2)/SQRT(2*PI()))*(0.43618*(K33^(-1))-0.1202*(K33^(-2))+0.9373*(K33^(-3)))</f>
        <v>0.24614679792718025</v>
      </c>
      <c r="AB19" s="21"/>
      <c r="AC19" s="21"/>
      <c r="AD19" s="21"/>
      <c r="AE19" s="21"/>
      <c r="AF19" s="21"/>
      <c r="AG19" s="21"/>
      <c r="AH19" s="21"/>
    </row>
    <row r="20" spans="1:34" ht="15.5" x14ac:dyDescent="0.35">
      <c r="A20" s="28" t="s">
        <v>120</v>
      </c>
      <c r="B20" s="51"/>
      <c r="C20" s="51"/>
      <c r="D20" s="30" t="s">
        <v>17</v>
      </c>
      <c r="E20" s="31" t="s">
        <v>18</v>
      </c>
      <c r="F20" s="35"/>
      <c r="G20" s="35"/>
      <c r="H20" s="52" t="s">
        <v>17</v>
      </c>
      <c r="I20" s="1"/>
      <c r="J20" s="1"/>
      <c r="K20" s="5">
        <f>AA21</f>
        <v>1.03</v>
      </c>
      <c r="L20" s="1"/>
      <c r="AA20" s="2">
        <f>D4*I93</f>
        <v>356.18800418493737</v>
      </c>
      <c r="AB20" s="21"/>
      <c r="AC20" s="21"/>
      <c r="AD20" s="21"/>
      <c r="AE20" s="21"/>
      <c r="AF20" s="21"/>
      <c r="AG20" s="21"/>
      <c r="AH20" s="21"/>
    </row>
    <row r="21" spans="1:34" ht="15.5" x14ac:dyDescent="0.35">
      <c r="A21" s="38"/>
      <c r="B21" s="38"/>
      <c r="C21" s="38"/>
      <c r="D21" s="38"/>
      <c r="E21" s="38"/>
      <c r="F21" s="38"/>
      <c r="G21" s="38"/>
      <c r="H21" s="38"/>
      <c r="I21" s="1"/>
      <c r="J21" s="1"/>
      <c r="K21" s="5">
        <f>AA22</f>
        <v>625</v>
      </c>
      <c r="L21" s="1"/>
      <c r="AA21" s="2">
        <f>D4*E8</f>
        <v>1.03</v>
      </c>
      <c r="AB21" s="21"/>
      <c r="AC21" s="21"/>
      <c r="AD21" s="21"/>
      <c r="AE21" s="21"/>
      <c r="AF21" s="21"/>
      <c r="AG21" s="21"/>
      <c r="AH21" s="21"/>
    </row>
    <row r="22" spans="1:34" ht="15.5" x14ac:dyDescent="0.35">
      <c r="A22" s="33"/>
      <c r="B22" s="29"/>
      <c r="C22" s="29"/>
      <c r="D22" s="42" t="s">
        <v>19</v>
      </c>
      <c r="E22" s="42" t="s">
        <v>20</v>
      </c>
      <c r="F22" s="42" t="s">
        <v>21</v>
      </c>
      <c r="G22" s="42" t="s">
        <v>22</v>
      </c>
      <c r="H22" s="53" t="s">
        <v>23</v>
      </c>
      <c r="I22" s="1"/>
      <c r="J22" s="1"/>
      <c r="K22" s="7" t="s">
        <v>24</v>
      </c>
      <c r="L22" s="1"/>
      <c r="AA22" s="2">
        <f>E9</f>
        <v>625</v>
      </c>
      <c r="AB22" s="21"/>
      <c r="AC22" s="21"/>
      <c r="AD22" s="21"/>
      <c r="AE22" s="21"/>
      <c r="AF22" s="21"/>
      <c r="AG22" s="21"/>
      <c r="AH22" s="21"/>
    </row>
    <row r="23" spans="1:34" ht="15.5" x14ac:dyDescent="0.35">
      <c r="A23" s="54" t="s">
        <v>25</v>
      </c>
      <c r="B23" s="55"/>
      <c r="C23" s="55"/>
      <c r="D23" s="56" t="s">
        <v>26</v>
      </c>
      <c r="E23" s="56" t="s">
        <v>27</v>
      </c>
      <c r="F23" s="56" t="s">
        <v>28</v>
      </c>
      <c r="G23" s="42" t="s">
        <v>29</v>
      </c>
      <c r="H23" s="53" t="s">
        <v>29</v>
      </c>
      <c r="I23" s="1"/>
      <c r="J23" s="1"/>
      <c r="K23" s="5">
        <f>AA23</f>
        <v>1</v>
      </c>
      <c r="L23" s="1"/>
      <c r="AA23" s="2">
        <f>D4</f>
        <v>1</v>
      </c>
      <c r="AB23" s="21"/>
      <c r="AC23" s="21"/>
      <c r="AD23" s="21"/>
      <c r="AE23" s="21"/>
      <c r="AF23" s="21"/>
      <c r="AG23" s="21"/>
      <c r="AH23" s="21"/>
    </row>
    <row r="24" spans="1:34" ht="15.5" x14ac:dyDescent="0.35">
      <c r="A24" s="54" t="s">
        <v>30</v>
      </c>
      <c r="B24" s="55"/>
      <c r="C24" s="55"/>
      <c r="D24" s="57"/>
      <c r="E24" s="55"/>
      <c r="F24" s="55"/>
      <c r="G24" s="35"/>
      <c r="H24" s="58"/>
      <c r="I24" s="1"/>
      <c r="J24" s="1"/>
      <c r="K24" s="8">
        <f>AA24</f>
        <v>84.739099999999993</v>
      </c>
      <c r="L24" s="1"/>
      <c r="AA24" s="9">
        <f>H25</f>
        <v>84.739099999999993</v>
      </c>
      <c r="AB24" s="21"/>
      <c r="AC24" s="21"/>
      <c r="AD24" s="21"/>
      <c r="AE24" s="21"/>
      <c r="AF24" s="21"/>
      <c r="AG24" s="21"/>
      <c r="AH24" s="21"/>
    </row>
    <row r="25" spans="1:34" ht="15.5" x14ac:dyDescent="0.35">
      <c r="A25" s="54" t="s">
        <v>31</v>
      </c>
      <c r="B25" s="55"/>
      <c r="C25" s="55"/>
      <c r="D25" s="59" t="s">
        <v>32</v>
      </c>
      <c r="E25" s="34">
        <v>2.27</v>
      </c>
      <c r="F25" s="108">
        <v>37.33</v>
      </c>
      <c r="G25" s="60">
        <f>AA26</f>
        <v>84.739099999999993</v>
      </c>
      <c r="H25" s="61">
        <f>AA27</f>
        <v>84.739099999999993</v>
      </c>
      <c r="I25" s="1"/>
      <c r="J25" s="1"/>
      <c r="K25" s="6">
        <f>AA28</f>
        <v>178.00904799999998</v>
      </c>
      <c r="L25" s="1"/>
      <c r="AA25" s="2">
        <f>15/2</f>
        <v>7.5</v>
      </c>
      <c r="AB25" s="21"/>
      <c r="AC25" s="21"/>
      <c r="AD25" s="21"/>
      <c r="AE25" s="21"/>
      <c r="AF25" s="21"/>
      <c r="AG25" s="21"/>
      <c r="AH25" s="21"/>
    </row>
    <row r="26" spans="1:34" ht="15.5" x14ac:dyDescent="0.35">
      <c r="A26" s="54" t="s">
        <v>33</v>
      </c>
      <c r="B26" s="55"/>
      <c r="C26" s="55"/>
      <c r="D26" s="59" t="s">
        <v>32</v>
      </c>
      <c r="E26" s="34">
        <v>0</v>
      </c>
      <c r="F26" s="46">
        <v>0</v>
      </c>
      <c r="G26" s="60">
        <f>AA29</f>
        <v>0</v>
      </c>
      <c r="H26" s="61">
        <f>AA30</f>
        <v>0</v>
      </c>
      <c r="I26" s="1"/>
      <c r="J26" s="1"/>
      <c r="K26" s="8">
        <f>AA31</f>
        <v>74.7</v>
      </c>
      <c r="L26" s="1"/>
      <c r="AA26" s="2">
        <f>F25*E25</f>
        <v>84.739099999999993</v>
      </c>
      <c r="AB26" s="21"/>
      <c r="AC26" s="21"/>
      <c r="AD26" s="21"/>
      <c r="AE26" s="21"/>
      <c r="AF26" s="21"/>
      <c r="AG26" s="21"/>
      <c r="AH26" s="21"/>
    </row>
    <row r="27" spans="1:34" ht="15.5" x14ac:dyDescent="0.35">
      <c r="A27" s="54" t="s">
        <v>115</v>
      </c>
      <c r="B27" s="62" t="s">
        <v>112</v>
      </c>
      <c r="C27" s="63" t="s">
        <v>129</v>
      </c>
      <c r="D27" s="59" t="s">
        <v>32</v>
      </c>
      <c r="E27" s="109">
        <v>48.4</v>
      </c>
      <c r="F27" s="64">
        <v>2.2589999999999999</v>
      </c>
      <c r="G27" s="65">
        <f>AA32</f>
        <v>109.33559999999999</v>
      </c>
      <c r="H27" s="66">
        <f>AA33</f>
        <v>109.33559999999999</v>
      </c>
      <c r="I27" s="1"/>
      <c r="J27" s="1"/>
      <c r="K27" s="6">
        <f>AA34</f>
        <v>45.13</v>
      </c>
      <c r="L27" s="1"/>
      <c r="AA27" s="2">
        <f>G25*D4</f>
        <v>84.739099999999993</v>
      </c>
      <c r="AB27" s="21"/>
      <c r="AC27" s="21"/>
      <c r="AD27" s="21"/>
      <c r="AE27" s="21"/>
      <c r="AF27" s="21"/>
      <c r="AG27" s="21"/>
      <c r="AH27" s="21"/>
    </row>
    <row r="28" spans="1:34" ht="17.5" x14ac:dyDescent="0.45">
      <c r="A28" s="54"/>
      <c r="B28" s="62" t="s">
        <v>113</v>
      </c>
      <c r="C28" s="63" t="s">
        <v>142</v>
      </c>
      <c r="D28" s="59" t="s">
        <v>32</v>
      </c>
      <c r="E28" s="109">
        <v>25.204000000000001</v>
      </c>
      <c r="F28" s="64">
        <v>2.137</v>
      </c>
      <c r="G28" s="65">
        <f>AA35</f>
        <v>53.860948</v>
      </c>
      <c r="H28" s="66">
        <f>AA36</f>
        <v>53.860948</v>
      </c>
      <c r="I28" s="1"/>
      <c r="J28" s="1"/>
      <c r="K28" s="6">
        <f>AA37</f>
        <v>4.3260000000000005</v>
      </c>
      <c r="L28" s="1"/>
      <c r="AA28" s="3">
        <f>SUM(H27:H29)</f>
        <v>178.00904799999998</v>
      </c>
      <c r="AB28" s="21"/>
      <c r="AC28" s="21"/>
      <c r="AD28" s="21"/>
      <c r="AE28" s="21"/>
      <c r="AF28" s="21"/>
      <c r="AG28" s="21"/>
      <c r="AH28" s="21"/>
    </row>
    <row r="29" spans="1:34" ht="17.5" x14ac:dyDescent="0.45">
      <c r="A29" s="54"/>
      <c r="B29" s="62" t="s">
        <v>114</v>
      </c>
      <c r="C29" s="63" t="s">
        <v>143</v>
      </c>
      <c r="D29" s="59" t="s">
        <v>32</v>
      </c>
      <c r="E29" s="109">
        <v>12.5</v>
      </c>
      <c r="F29" s="64">
        <v>1.1850000000000001</v>
      </c>
      <c r="G29" s="65">
        <f>AA38</f>
        <v>14.8125</v>
      </c>
      <c r="H29" s="66">
        <f>AA39</f>
        <v>14.8125</v>
      </c>
      <c r="I29" s="1"/>
      <c r="J29" s="1"/>
      <c r="K29" s="6">
        <f>AA40</f>
        <v>71</v>
      </c>
      <c r="L29" s="1"/>
      <c r="AA29" s="2">
        <f>F26*E26</f>
        <v>0</v>
      </c>
      <c r="AB29" s="21"/>
      <c r="AC29" s="21"/>
      <c r="AD29" s="21"/>
      <c r="AE29" s="21"/>
      <c r="AF29" s="21"/>
      <c r="AG29" s="21"/>
      <c r="AH29" s="21"/>
    </row>
    <row r="30" spans="1:34" ht="15.5" x14ac:dyDescent="0.35">
      <c r="A30" s="67"/>
      <c r="B30" s="55"/>
      <c r="C30" s="55"/>
      <c r="D30" s="55"/>
      <c r="E30" s="55"/>
      <c r="F30" s="68"/>
      <c r="G30" s="69"/>
      <c r="H30" s="70"/>
      <c r="I30" s="1"/>
      <c r="J30" s="4"/>
      <c r="K30" s="4"/>
      <c r="L30" s="1"/>
      <c r="AA30" s="2">
        <f>G26*D4</f>
        <v>0</v>
      </c>
      <c r="AB30" s="21"/>
      <c r="AC30" s="21"/>
      <c r="AD30" s="21"/>
      <c r="AE30" s="21"/>
      <c r="AF30" s="21"/>
      <c r="AG30" s="21"/>
      <c r="AH30" s="21"/>
    </row>
    <row r="31" spans="1:34" ht="15.5" x14ac:dyDescent="0.35">
      <c r="A31" s="71"/>
      <c r="B31" s="55"/>
      <c r="C31" s="55"/>
      <c r="D31" s="56" t="s">
        <v>19</v>
      </c>
      <c r="E31" s="56" t="s">
        <v>20</v>
      </c>
      <c r="F31" s="56" t="s">
        <v>21</v>
      </c>
      <c r="G31" s="42" t="s">
        <v>22</v>
      </c>
      <c r="H31" s="53" t="s">
        <v>23</v>
      </c>
      <c r="I31" s="1"/>
      <c r="J31" s="7" t="s">
        <v>35</v>
      </c>
      <c r="K31" s="5">
        <f>AA41</f>
        <v>1.6873347107438015</v>
      </c>
      <c r="L31" s="1"/>
      <c r="AA31" s="9">
        <f>H26+SUM(H33:H37)</f>
        <v>74.7</v>
      </c>
      <c r="AB31" s="21"/>
      <c r="AC31" s="21"/>
      <c r="AD31" s="21"/>
      <c r="AE31" s="21"/>
      <c r="AF31" s="21"/>
      <c r="AG31" s="21"/>
      <c r="AH31" s="21"/>
    </row>
    <row r="32" spans="1:34" ht="15.5" x14ac:dyDescent="0.35">
      <c r="A32" s="54" t="s">
        <v>36</v>
      </c>
      <c r="B32" s="55"/>
      <c r="C32" s="55"/>
      <c r="D32" s="56" t="s">
        <v>26</v>
      </c>
      <c r="E32" s="56" t="s">
        <v>27</v>
      </c>
      <c r="F32" s="56" t="s">
        <v>28</v>
      </c>
      <c r="G32" s="42" t="s">
        <v>29</v>
      </c>
      <c r="H32" s="53" t="s">
        <v>29</v>
      </c>
      <c r="I32" s="1"/>
      <c r="J32" s="4"/>
      <c r="K32" s="4"/>
      <c r="L32" s="1"/>
      <c r="AA32" s="2">
        <f>F27*E27</f>
        <v>109.33559999999999</v>
      </c>
      <c r="AB32" s="21"/>
      <c r="AC32" s="21"/>
      <c r="AD32" s="21"/>
      <c r="AE32" s="21"/>
      <c r="AF32" s="21"/>
      <c r="AG32" s="21"/>
      <c r="AH32" s="21"/>
    </row>
    <row r="33" spans="1:34" ht="15.5" x14ac:dyDescent="0.35">
      <c r="A33" s="54" t="s">
        <v>37</v>
      </c>
      <c r="B33" s="55"/>
      <c r="C33" s="55"/>
      <c r="D33" s="113" t="s">
        <v>38</v>
      </c>
      <c r="E33" s="34">
        <v>0</v>
      </c>
      <c r="F33" s="46">
        <v>0</v>
      </c>
      <c r="G33" s="65">
        <f>AA42</f>
        <v>0</v>
      </c>
      <c r="H33" s="66">
        <f>AA43</f>
        <v>0</v>
      </c>
      <c r="I33" s="1"/>
      <c r="J33" s="7" t="s">
        <v>39</v>
      </c>
      <c r="K33" s="5">
        <f>AA44</f>
        <v>1.2284334000000001</v>
      </c>
      <c r="L33" s="1"/>
      <c r="AA33" s="2">
        <f>G27*D4</f>
        <v>109.33559999999999</v>
      </c>
      <c r="AB33" s="21"/>
      <c r="AC33" s="21"/>
      <c r="AD33" s="21"/>
      <c r="AE33" s="21"/>
      <c r="AF33" s="21"/>
      <c r="AG33" s="21"/>
      <c r="AH33" s="21"/>
    </row>
    <row r="34" spans="1:34" ht="15.5" x14ac:dyDescent="0.35">
      <c r="A34" s="54" t="s">
        <v>40</v>
      </c>
      <c r="B34" s="55"/>
      <c r="C34" s="55"/>
      <c r="D34" s="111" t="s">
        <v>38</v>
      </c>
      <c r="E34" s="34">
        <v>0</v>
      </c>
      <c r="F34" s="46">
        <v>0</v>
      </c>
      <c r="G34" s="65">
        <f>AA45</f>
        <v>0</v>
      </c>
      <c r="H34" s="66">
        <f>AA46</f>
        <v>0</v>
      </c>
      <c r="I34" s="1"/>
      <c r="J34" s="1"/>
      <c r="K34" s="6">
        <f>AA47</f>
        <v>21.8</v>
      </c>
      <c r="L34" s="1"/>
      <c r="AA34" s="3">
        <f>SUM(H43:H45)+H47+H39+H40</f>
        <v>45.13</v>
      </c>
      <c r="AB34" s="21"/>
      <c r="AC34" s="21"/>
      <c r="AD34" s="21"/>
      <c r="AE34" s="21"/>
      <c r="AF34" s="21"/>
      <c r="AG34" s="21"/>
      <c r="AH34" s="21"/>
    </row>
    <row r="35" spans="1:34" ht="15.5" x14ac:dyDescent="0.35">
      <c r="A35" s="54" t="s">
        <v>41</v>
      </c>
      <c r="B35" s="55"/>
      <c r="C35" s="55"/>
      <c r="D35" s="111" t="s">
        <v>38</v>
      </c>
      <c r="E35" s="34">
        <v>1</v>
      </c>
      <c r="F35" s="46">
        <v>21.75</v>
      </c>
      <c r="G35" s="65">
        <f>AA48</f>
        <v>21.75</v>
      </c>
      <c r="H35" s="66">
        <f>AA49</f>
        <v>21.75</v>
      </c>
      <c r="I35" s="1"/>
      <c r="J35" s="1"/>
      <c r="K35" s="6">
        <f>AA50</f>
        <v>33.799999999999997</v>
      </c>
      <c r="L35" s="1"/>
      <c r="AA35" s="2">
        <f>F28*E28</f>
        <v>53.860948</v>
      </c>
      <c r="AB35" s="21"/>
      <c r="AC35" s="21"/>
      <c r="AD35" s="21"/>
      <c r="AE35" s="21"/>
      <c r="AF35" s="21"/>
      <c r="AG35" s="21"/>
      <c r="AH35" s="21"/>
    </row>
    <row r="36" spans="1:34" ht="15.5" x14ac:dyDescent="0.35">
      <c r="A36" s="54" t="s">
        <v>42</v>
      </c>
      <c r="B36" s="114" t="s">
        <v>144</v>
      </c>
      <c r="C36" s="112"/>
      <c r="D36" s="111" t="s">
        <v>38</v>
      </c>
      <c r="E36" s="110">
        <v>1</v>
      </c>
      <c r="F36" s="46">
        <v>29.5</v>
      </c>
      <c r="G36" s="65">
        <f>AA51</f>
        <v>29.5</v>
      </c>
      <c r="H36" s="66">
        <f>AA52</f>
        <v>29.5</v>
      </c>
      <c r="I36" s="1"/>
      <c r="J36" s="1"/>
      <c r="K36" s="1"/>
      <c r="L36" s="1"/>
      <c r="AA36" s="2">
        <f>G28*D4</f>
        <v>53.860948</v>
      </c>
      <c r="AB36" s="21"/>
      <c r="AC36" s="21"/>
      <c r="AD36" s="21"/>
      <c r="AE36" s="21"/>
      <c r="AF36" s="21"/>
      <c r="AG36" s="21"/>
      <c r="AH36" s="21"/>
    </row>
    <row r="37" spans="1:34" ht="15.5" x14ac:dyDescent="0.35">
      <c r="A37" s="54" t="s">
        <v>43</v>
      </c>
      <c r="B37" s="55"/>
      <c r="C37" s="55"/>
      <c r="D37" s="111" t="s">
        <v>38</v>
      </c>
      <c r="E37" s="34">
        <v>1</v>
      </c>
      <c r="F37" s="46">
        <v>23.45</v>
      </c>
      <c r="G37" s="65">
        <f>AA53</f>
        <v>23.45</v>
      </c>
      <c r="H37" s="66">
        <f>AA54</f>
        <v>23.45</v>
      </c>
      <c r="I37" s="1"/>
      <c r="J37" s="1"/>
      <c r="K37" s="1"/>
      <c r="L37" s="1"/>
      <c r="AA37" s="3">
        <f>H46</f>
        <v>4.3260000000000005</v>
      </c>
      <c r="AB37" s="21"/>
      <c r="AC37" s="21"/>
      <c r="AD37" s="21"/>
      <c r="AE37" s="21"/>
      <c r="AF37" s="21"/>
      <c r="AG37" s="21"/>
      <c r="AH37" s="21"/>
    </row>
    <row r="38" spans="1:34" ht="15.5" x14ac:dyDescent="0.35">
      <c r="A38" s="54" t="s">
        <v>44</v>
      </c>
      <c r="B38" s="55"/>
      <c r="C38" s="55"/>
      <c r="D38" s="56"/>
      <c r="E38" s="34">
        <v>0</v>
      </c>
      <c r="F38" s="46">
        <v>0</v>
      </c>
      <c r="G38" s="65">
        <f>AA55</f>
        <v>0</v>
      </c>
      <c r="H38" s="66">
        <f>AA56</f>
        <v>0</v>
      </c>
      <c r="I38" s="1"/>
      <c r="J38" s="1"/>
      <c r="K38" s="1"/>
      <c r="L38" s="1"/>
      <c r="AA38" s="2">
        <f>F29*E29</f>
        <v>14.8125</v>
      </c>
      <c r="AB38" s="21"/>
      <c r="AC38" s="21"/>
      <c r="AD38" s="21"/>
      <c r="AE38" s="21"/>
      <c r="AF38" s="21"/>
      <c r="AG38" s="21"/>
      <c r="AH38" s="21"/>
    </row>
    <row r="39" spans="1:34" ht="15.5" x14ac:dyDescent="0.35">
      <c r="A39" s="54" t="s">
        <v>45</v>
      </c>
      <c r="B39" s="55"/>
      <c r="C39" s="55"/>
      <c r="D39" s="63" t="s">
        <v>46</v>
      </c>
      <c r="E39" s="56">
        <f>AA57</f>
        <v>1</v>
      </c>
      <c r="F39" s="72">
        <f>AA58</f>
        <v>21.8</v>
      </c>
      <c r="G39" s="65">
        <f>AA59</f>
        <v>21.8</v>
      </c>
      <c r="H39" s="66">
        <f>AA60</f>
        <v>21.8</v>
      </c>
      <c r="I39" s="1"/>
      <c r="J39" s="1"/>
      <c r="K39" s="1"/>
      <c r="L39" s="1"/>
      <c r="AA39" s="2">
        <f>G29*D4</f>
        <v>14.8125</v>
      </c>
      <c r="AB39" s="21"/>
      <c r="AC39" s="21"/>
      <c r="AD39" s="21"/>
      <c r="AE39" s="21"/>
      <c r="AF39" s="21"/>
      <c r="AG39" s="21"/>
      <c r="AH39" s="21"/>
    </row>
    <row r="40" spans="1:34" ht="15.5" x14ac:dyDescent="0.35">
      <c r="A40" s="54" t="s">
        <v>121</v>
      </c>
      <c r="B40" s="55"/>
      <c r="C40" s="55"/>
      <c r="D40" s="63" t="s">
        <v>122</v>
      </c>
      <c r="E40" s="34">
        <v>1</v>
      </c>
      <c r="F40" s="46">
        <v>12</v>
      </c>
      <c r="G40" s="65">
        <f>AA63</f>
        <v>12</v>
      </c>
      <c r="H40" s="66">
        <f>AA64</f>
        <v>12</v>
      </c>
      <c r="I40" s="1"/>
      <c r="J40" s="1"/>
      <c r="K40" s="1"/>
      <c r="L40" s="1"/>
      <c r="AA40" s="3">
        <f>H41+H42</f>
        <v>71</v>
      </c>
      <c r="AB40" s="21"/>
      <c r="AC40" s="21"/>
      <c r="AD40" s="21"/>
      <c r="AE40" s="21"/>
      <c r="AF40" s="21"/>
      <c r="AG40" s="21"/>
      <c r="AH40" s="21"/>
    </row>
    <row r="41" spans="1:34" ht="15.5" x14ac:dyDescent="0.35">
      <c r="A41" s="54" t="s">
        <v>117</v>
      </c>
      <c r="B41" s="62" t="s">
        <v>112</v>
      </c>
      <c r="C41" s="59" t="s">
        <v>118</v>
      </c>
      <c r="D41" s="55"/>
      <c r="E41" s="34">
        <v>3</v>
      </c>
      <c r="F41" s="46">
        <v>18</v>
      </c>
      <c r="G41" s="65">
        <f>AA65</f>
        <v>54</v>
      </c>
      <c r="H41" s="66">
        <f>AA66</f>
        <v>54</v>
      </c>
      <c r="I41" s="1"/>
      <c r="J41" s="1"/>
      <c r="K41" s="1"/>
      <c r="L41" s="1"/>
      <c r="AA41" s="2">
        <f>(1+0.33267*((E9-D16)/((C9-G9)/2)))</f>
        <v>1.6873347107438015</v>
      </c>
      <c r="AB41" s="21"/>
      <c r="AC41" s="21"/>
      <c r="AD41" s="21"/>
      <c r="AE41" s="21"/>
      <c r="AF41" s="21"/>
      <c r="AG41" s="21"/>
      <c r="AH41" s="21"/>
    </row>
    <row r="42" spans="1:34" ht="15.5" x14ac:dyDescent="0.35">
      <c r="A42" s="54"/>
      <c r="B42" s="62" t="s">
        <v>113</v>
      </c>
      <c r="C42" s="63" t="s">
        <v>116</v>
      </c>
      <c r="D42" s="55"/>
      <c r="E42" s="34">
        <v>1</v>
      </c>
      <c r="F42" s="46">
        <v>17</v>
      </c>
      <c r="G42" s="65">
        <f>AA67</f>
        <v>17</v>
      </c>
      <c r="H42" s="66">
        <f>AA68</f>
        <v>17</v>
      </c>
      <c r="I42" s="10"/>
      <c r="J42" s="10"/>
      <c r="K42" s="10"/>
      <c r="L42" s="1"/>
      <c r="AA42" s="2">
        <f>F33*E33</f>
        <v>0</v>
      </c>
      <c r="AB42" s="21"/>
      <c r="AC42" s="21"/>
      <c r="AD42" s="21"/>
      <c r="AE42" s="21"/>
      <c r="AF42" s="21"/>
      <c r="AG42" s="21"/>
      <c r="AH42" s="21"/>
    </row>
    <row r="43" spans="1:34" ht="15.5" x14ac:dyDescent="0.35">
      <c r="A43" s="54" t="s">
        <v>47</v>
      </c>
      <c r="B43" s="55"/>
      <c r="C43" s="55"/>
      <c r="D43" s="63" t="s">
        <v>48</v>
      </c>
      <c r="E43" s="72">
        <f>AA69</f>
        <v>1.1330000000000002</v>
      </c>
      <c r="F43" s="46">
        <v>0</v>
      </c>
      <c r="G43" s="65">
        <f>AA70</f>
        <v>0</v>
      </c>
      <c r="H43" s="66">
        <f>AA71</f>
        <v>0</v>
      </c>
      <c r="I43" s="1"/>
      <c r="J43" s="1"/>
      <c r="K43" s="1"/>
      <c r="L43" s="1"/>
      <c r="AA43" s="2">
        <f>G33*D4</f>
        <v>0</v>
      </c>
      <c r="AB43" s="21"/>
      <c r="AC43" s="21"/>
      <c r="AD43" s="21"/>
      <c r="AE43" s="21"/>
      <c r="AF43" s="21"/>
      <c r="AG43" s="21"/>
      <c r="AH43" s="21"/>
    </row>
    <row r="44" spans="1:34" ht="15.5" x14ac:dyDescent="0.35">
      <c r="A44" s="54" t="s">
        <v>49</v>
      </c>
      <c r="B44" s="55"/>
      <c r="C44" s="55"/>
      <c r="D44" s="59" t="s">
        <v>48</v>
      </c>
      <c r="E44" s="34">
        <v>0</v>
      </c>
      <c r="F44" s="46">
        <v>0</v>
      </c>
      <c r="G44" s="65">
        <f>AA72</f>
        <v>0</v>
      </c>
      <c r="H44" s="66">
        <f>AA73</f>
        <v>0</v>
      </c>
      <c r="I44" s="1"/>
      <c r="J44" s="1"/>
      <c r="K44" s="1"/>
      <c r="L44" s="1"/>
      <c r="AA44" s="2">
        <f>(1+0.33267*((E8-H16)/((C8-G8)/2)))</f>
        <v>1.2284334000000001</v>
      </c>
      <c r="AB44" s="21"/>
      <c r="AC44" s="21"/>
      <c r="AD44" s="21"/>
      <c r="AE44" s="21"/>
      <c r="AF44" s="21"/>
      <c r="AG44" s="21"/>
      <c r="AH44" s="21"/>
    </row>
    <row r="45" spans="1:34" ht="15.5" x14ac:dyDescent="0.35">
      <c r="A45" s="54" t="s">
        <v>50</v>
      </c>
      <c r="B45" s="55"/>
      <c r="C45" s="55"/>
      <c r="D45" s="63" t="s">
        <v>48</v>
      </c>
      <c r="E45" s="72">
        <f>AA74</f>
        <v>1.03</v>
      </c>
      <c r="F45" s="46">
        <v>11</v>
      </c>
      <c r="G45" s="65">
        <f>AA75</f>
        <v>11.33</v>
      </c>
      <c r="H45" s="66">
        <f>AA76</f>
        <v>11.33</v>
      </c>
      <c r="I45" s="1"/>
      <c r="J45" s="1"/>
      <c r="K45" s="1"/>
      <c r="L45" s="1"/>
      <c r="AA45" s="2">
        <f>F34*E34</f>
        <v>0</v>
      </c>
      <c r="AB45" s="21"/>
      <c r="AC45" s="21"/>
      <c r="AD45" s="21"/>
      <c r="AE45" s="21"/>
      <c r="AF45" s="21"/>
      <c r="AG45" s="21"/>
      <c r="AH45" s="21"/>
    </row>
    <row r="46" spans="1:34" ht="15.5" x14ac:dyDescent="0.35">
      <c r="A46" s="54" t="s">
        <v>51</v>
      </c>
      <c r="B46" s="55"/>
      <c r="C46" s="55"/>
      <c r="D46" s="63" t="s">
        <v>48</v>
      </c>
      <c r="E46" s="72">
        <f>AA77</f>
        <v>1.03</v>
      </c>
      <c r="F46" s="46">
        <v>4.2</v>
      </c>
      <c r="G46" s="65">
        <f>AA78</f>
        <v>4.3260000000000005</v>
      </c>
      <c r="H46" s="66">
        <f>AA79</f>
        <v>4.3260000000000005</v>
      </c>
      <c r="I46" s="10"/>
      <c r="J46" s="10"/>
      <c r="K46" s="10"/>
      <c r="L46" s="1"/>
      <c r="AA46" s="2">
        <f>G34*D4</f>
        <v>0</v>
      </c>
      <c r="AB46" s="21"/>
      <c r="AC46" s="21"/>
      <c r="AD46" s="21"/>
      <c r="AE46" s="21"/>
      <c r="AF46" s="21"/>
      <c r="AG46" s="21"/>
      <c r="AH46" s="21"/>
    </row>
    <row r="47" spans="1:34" ht="15.5" x14ac:dyDescent="0.35">
      <c r="A47" s="54" t="s">
        <v>52</v>
      </c>
      <c r="B47" s="55"/>
      <c r="C47" s="55"/>
      <c r="D47" s="59" t="s">
        <v>34</v>
      </c>
      <c r="E47" s="34">
        <v>0</v>
      </c>
      <c r="F47" s="46">
        <v>0</v>
      </c>
      <c r="G47" s="65">
        <f>AA80</f>
        <v>0</v>
      </c>
      <c r="H47" s="66">
        <f>AA81</f>
        <v>0</v>
      </c>
      <c r="I47" s="1"/>
      <c r="J47" s="1"/>
      <c r="K47" s="4"/>
      <c r="L47" s="1"/>
      <c r="AA47" s="3">
        <f>H39</f>
        <v>21.8</v>
      </c>
      <c r="AB47" s="21"/>
      <c r="AC47" s="21"/>
      <c r="AD47" s="21"/>
      <c r="AE47" s="21"/>
      <c r="AF47" s="21"/>
      <c r="AG47" s="21"/>
      <c r="AH47" s="21"/>
    </row>
    <row r="48" spans="1:34" ht="15.5" x14ac:dyDescent="0.35">
      <c r="A48" s="71"/>
      <c r="B48" s="55"/>
      <c r="C48" s="55"/>
      <c r="D48" s="55"/>
      <c r="E48" s="55"/>
      <c r="F48" s="55"/>
      <c r="G48" s="29"/>
      <c r="H48" s="37"/>
      <c r="I48" s="1"/>
      <c r="J48" s="1"/>
      <c r="K48" s="4"/>
      <c r="L48" s="1"/>
      <c r="AA48" s="2">
        <f>F35*E35</f>
        <v>21.75</v>
      </c>
      <c r="AB48" s="21"/>
      <c r="AC48" s="21"/>
      <c r="AD48" s="21"/>
      <c r="AE48" s="21"/>
      <c r="AF48" s="21"/>
      <c r="AG48" s="21"/>
      <c r="AH48" s="21"/>
    </row>
    <row r="49" spans="1:34" ht="15.5" x14ac:dyDescent="0.35">
      <c r="A49" s="71"/>
      <c r="B49" s="55"/>
      <c r="C49" s="55"/>
      <c r="D49" s="55"/>
      <c r="E49" s="55"/>
      <c r="F49" s="55"/>
      <c r="G49" s="29"/>
      <c r="H49" s="37"/>
      <c r="I49" s="1"/>
      <c r="J49" s="1"/>
      <c r="K49" s="4"/>
      <c r="L49" s="1"/>
      <c r="AA49" s="2">
        <f>G35*D4</f>
        <v>21.75</v>
      </c>
      <c r="AB49" s="21"/>
      <c r="AC49" s="21"/>
      <c r="AD49" s="21"/>
      <c r="AE49" s="21"/>
      <c r="AF49" s="21"/>
      <c r="AG49" s="21"/>
      <c r="AH49" s="21"/>
    </row>
    <row r="50" spans="1:34" ht="15.5" x14ac:dyDescent="0.35">
      <c r="A50" s="71"/>
      <c r="B50" s="55"/>
      <c r="C50" s="55"/>
      <c r="D50" s="55"/>
      <c r="E50" s="55"/>
      <c r="F50" s="55"/>
      <c r="G50" s="29"/>
      <c r="H50" s="37"/>
      <c r="I50" s="1"/>
      <c r="J50" s="1"/>
      <c r="K50" s="7" t="s">
        <v>53</v>
      </c>
      <c r="L50" s="1"/>
      <c r="AA50" s="3">
        <f>K34+H40</f>
        <v>33.799999999999997</v>
      </c>
      <c r="AB50" s="21"/>
      <c r="AC50" s="21"/>
      <c r="AD50" s="21"/>
      <c r="AE50" s="21"/>
      <c r="AF50" s="21"/>
      <c r="AG50" s="21"/>
      <c r="AH50" s="21"/>
    </row>
    <row r="51" spans="1:34" ht="15.5" x14ac:dyDescent="0.35">
      <c r="A51" s="71"/>
      <c r="B51" s="55"/>
      <c r="C51" s="55"/>
      <c r="D51" s="55"/>
      <c r="E51" s="55"/>
      <c r="F51" s="55"/>
      <c r="G51" s="29"/>
      <c r="H51" s="37"/>
      <c r="I51" s="1"/>
      <c r="J51" s="1"/>
      <c r="K51" s="7" t="s">
        <v>54</v>
      </c>
      <c r="L51" s="1"/>
      <c r="AA51" s="2">
        <f>F36*E36</f>
        <v>29.5</v>
      </c>
      <c r="AB51" s="21"/>
      <c r="AC51" s="21"/>
      <c r="AD51" s="21"/>
      <c r="AE51" s="21"/>
      <c r="AF51" s="21"/>
      <c r="AG51" s="21"/>
      <c r="AH51" s="21"/>
    </row>
    <row r="52" spans="1:34" ht="15.5" x14ac:dyDescent="0.35">
      <c r="A52" s="71"/>
      <c r="B52" s="55"/>
      <c r="C52" s="55"/>
      <c r="D52" s="56" t="s">
        <v>55</v>
      </c>
      <c r="E52" s="73" t="s">
        <v>56</v>
      </c>
      <c r="F52" s="68"/>
      <c r="G52" s="69"/>
      <c r="H52" s="70"/>
      <c r="I52" s="1"/>
      <c r="J52" s="1"/>
      <c r="K52" s="7" t="s">
        <v>57</v>
      </c>
      <c r="L52" s="1"/>
      <c r="AA52" s="2">
        <f>G36*D4</f>
        <v>29.5</v>
      </c>
      <c r="AB52" s="21"/>
      <c r="AC52" s="21"/>
      <c r="AD52" s="21"/>
      <c r="AE52" s="21"/>
      <c r="AF52" s="21"/>
      <c r="AG52" s="21"/>
      <c r="AH52" s="21"/>
    </row>
    <row r="53" spans="1:34" ht="15.5" x14ac:dyDescent="0.35">
      <c r="A53" s="71"/>
      <c r="B53" s="55"/>
      <c r="C53" s="55"/>
      <c r="D53" s="56" t="s">
        <v>58</v>
      </c>
      <c r="E53" s="73" t="s">
        <v>59</v>
      </c>
      <c r="F53" s="68"/>
      <c r="G53" s="42" t="s">
        <v>22</v>
      </c>
      <c r="H53" s="53" t="s">
        <v>23</v>
      </c>
      <c r="I53" s="1"/>
      <c r="J53" s="1"/>
      <c r="K53" s="7" t="s">
        <v>60</v>
      </c>
      <c r="L53" s="1"/>
      <c r="AA53" s="2">
        <f>F37*E37</f>
        <v>23.45</v>
      </c>
      <c r="AB53" s="21"/>
      <c r="AC53" s="21"/>
      <c r="AD53" s="21"/>
      <c r="AE53" s="21"/>
      <c r="AF53" s="21"/>
      <c r="AG53" s="21"/>
      <c r="AH53" s="21"/>
    </row>
    <row r="54" spans="1:34" ht="15.5" x14ac:dyDescent="0.35">
      <c r="A54" s="54" t="s">
        <v>61</v>
      </c>
      <c r="B54" s="55"/>
      <c r="C54" s="55"/>
      <c r="D54" s="34">
        <v>30.65</v>
      </c>
      <c r="E54" s="74">
        <f ca="1">AA82</f>
        <v>0</v>
      </c>
      <c r="F54" s="68"/>
      <c r="G54" s="65">
        <f ca="1">AA83</f>
        <v>30.65</v>
      </c>
      <c r="H54" s="66">
        <f ca="1">AA84</f>
        <v>30.65</v>
      </c>
      <c r="I54" s="1"/>
      <c r="J54" s="1"/>
      <c r="K54" s="7" t="s">
        <v>62</v>
      </c>
      <c r="L54" s="1"/>
      <c r="AA54" s="2">
        <f>G37*D4</f>
        <v>23.45</v>
      </c>
      <c r="AB54" s="21"/>
      <c r="AC54" s="21"/>
      <c r="AD54" s="21"/>
      <c r="AE54" s="21"/>
      <c r="AF54" s="21"/>
      <c r="AG54" s="21"/>
      <c r="AH54" s="21"/>
    </row>
    <row r="55" spans="1:34" ht="15.5" x14ac:dyDescent="0.35">
      <c r="A55" s="54" t="s">
        <v>63</v>
      </c>
      <c r="B55" s="55"/>
      <c r="C55" s="55"/>
      <c r="D55" s="34">
        <v>41.25</v>
      </c>
      <c r="E55" s="74">
        <f ca="1">AA85</f>
        <v>0</v>
      </c>
      <c r="F55" s="68"/>
      <c r="G55" s="65">
        <f ca="1">AA86</f>
        <v>41.25</v>
      </c>
      <c r="H55" s="66">
        <f ca="1">AA87</f>
        <v>41.25</v>
      </c>
      <c r="I55" s="1"/>
      <c r="J55" s="1"/>
      <c r="K55" s="4"/>
      <c r="L55" s="1"/>
      <c r="AA55" s="2">
        <f>F38*E38</f>
        <v>0</v>
      </c>
      <c r="AB55" s="21"/>
      <c r="AC55" s="21"/>
      <c r="AD55" s="21"/>
      <c r="AE55" s="21"/>
      <c r="AF55" s="21"/>
      <c r="AG55" s="21"/>
      <c r="AH55" s="21"/>
    </row>
    <row r="56" spans="1:34" ht="15.5" x14ac:dyDescent="0.35">
      <c r="A56" s="54" t="s">
        <v>64</v>
      </c>
      <c r="B56" s="55"/>
      <c r="C56" s="55"/>
      <c r="D56" s="34">
        <v>0</v>
      </c>
      <c r="E56" s="74">
        <f ca="1">AA88</f>
        <v>0</v>
      </c>
      <c r="F56" s="68"/>
      <c r="G56" s="65">
        <f ca="1">AA89</f>
        <v>0</v>
      </c>
      <c r="H56" s="66">
        <f ca="1">AA90</f>
        <v>0</v>
      </c>
      <c r="I56" s="1"/>
      <c r="J56" s="4"/>
      <c r="K56" s="4"/>
      <c r="L56" s="1"/>
      <c r="AA56" s="2">
        <f>G38*D4</f>
        <v>0</v>
      </c>
      <c r="AB56" s="21"/>
      <c r="AC56" s="21"/>
      <c r="AD56" s="21"/>
      <c r="AE56" s="21"/>
      <c r="AF56" s="21"/>
      <c r="AG56" s="21"/>
      <c r="AH56" s="21"/>
    </row>
    <row r="57" spans="1:34" ht="15.5" x14ac:dyDescent="0.35">
      <c r="A57" s="54" t="s">
        <v>124</v>
      </c>
      <c r="B57" s="55"/>
      <c r="C57" s="55"/>
      <c r="D57" s="34">
        <v>14.85</v>
      </c>
      <c r="E57" s="74">
        <f ca="1">AA91</f>
        <v>0</v>
      </c>
      <c r="F57" s="68"/>
      <c r="G57" s="65">
        <f ca="1">AA92</f>
        <v>14.85</v>
      </c>
      <c r="H57" s="66">
        <f ca="1">AA93</f>
        <v>14.85</v>
      </c>
      <c r="I57" s="1"/>
      <c r="J57" s="4"/>
      <c r="K57" s="4"/>
      <c r="L57" s="1"/>
      <c r="AA57" s="2">
        <f>IF(UPPER(LEFT(H20,1))="Y",1,0)</f>
        <v>1</v>
      </c>
      <c r="AB57" s="21"/>
      <c r="AC57" s="21"/>
      <c r="AD57" s="21"/>
      <c r="AE57" s="21"/>
      <c r="AF57" s="21"/>
      <c r="AG57" s="21"/>
      <c r="AH57" s="21"/>
    </row>
    <row r="58" spans="1:34" ht="15.5" x14ac:dyDescent="0.35">
      <c r="A58" s="75" t="s">
        <v>65</v>
      </c>
      <c r="B58" s="55"/>
      <c r="C58" s="55"/>
      <c r="D58" s="34">
        <v>0</v>
      </c>
      <c r="E58" s="74">
        <f ca="1">AA94</f>
        <v>0</v>
      </c>
      <c r="F58" s="68"/>
      <c r="G58" s="65">
        <f ca="1">AA95</f>
        <v>0</v>
      </c>
      <c r="H58" s="66">
        <f ca="1">AA96</f>
        <v>0</v>
      </c>
      <c r="I58" s="1"/>
      <c r="J58" s="5">
        <f ca="1">AA97</f>
        <v>14.415199533000001</v>
      </c>
      <c r="K58" s="7" t="s">
        <v>66</v>
      </c>
      <c r="L58" s="1"/>
      <c r="AA58" s="11">
        <f>H14</f>
        <v>21.8</v>
      </c>
      <c r="AB58" s="21"/>
      <c r="AC58" s="21"/>
      <c r="AD58" s="21"/>
      <c r="AE58" s="21"/>
      <c r="AF58" s="21"/>
      <c r="AG58" s="21"/>
      <c r="AH58" s="21"/>
    </row>
    <row r="59" spans="1:34" ht="15.5" x14ac:dyDescent="0.35">
      <c r="A59" s="54" t="s">
        <v>67</v>
      </c>
      <c r="B59" s="55"/>
      <c r="C59" s="56" t="s">
        <v>68</v>
      </c>
      <c r="D59" s="56" t="s">
        <v>69</v>
      </c>
      <c r="E59" s="73"/>
      <c r="F59" s="76"/>
      <c r="G59" s="69"/>
      <c r="H59" s="44"/>
      <c r="I59" s="1"/>
      <c r="J59" s="1"/>
      <c r="K59" s="4"/>
      <c r="L59" s="1"/>
      <c r="AA59" s="2">
        <f>F39*E39</f>
        <v>21.8</v>
      </c>
      <c r="AB59" s="21"/>
      <c r="AC59" s="21"/>
      <c r="AD59" s="21"/>
      <c r="AE59" s="21"/>
      <c r="AF59" s="21"/>
      <c r="AG59" s="21"/>
      <c r="AH59" s="21"/>
    </row>
    <row r="60" spans="1:34" ht="15.5" x14ac:dyDescent="0.35">
      <c r="A60" s="54" t="s">
        <v>70</v>
      </c>
      <c r="B60" s="55"/>
      <c r="C60" s="34">
        <v>5.45</v>
      </c>
      <c r="D60" s="34">
        <v>50</v>
      </c>
      <c r="E60" s="74">
        <f ca="1">AA98</f>
        <v>0</v>
      </c>
      <c r="F60" s="55"/>
      <c r="G60" s="65">
        <f ca="1">AA99</f>
        <v>14.415199533000001</v>
      </c>
      <c r="H60" s="66">
        <f ca="1">AA100</f>
        <v>14.415199533000001</v>
      </c>
      <c r="I60" s="1"/>
      <c r="J60" s="4"/>
      <c r="K60" s="4"/>
      <c r="L60" s="1"/>
      <c r="AA60" s="2">
        <f>G39*D4</f>
        <v>21.8</v>
      </c>
      <c r="AB60" s="21"/>
      <c r="AC60" s="21"/>
      <c r="AD60" s="21"/>
      <c r="AE60" s="21"/>
      <c r="AF60" s="21"/>
      <c r="AG60" s="21"/>
      <c r="AH60" s="21"/>
    </row>
    <row r="61" spans="1:34" ht="15.5" x14ac:dyDescent="0.35">
      <c r="A61" s="71"/>
      <c r="B61" s="55"/>
      <c r="C61" s="55"/>
      <c r="D61" s="55"/>
      <c r="E61" s="73"/>
      <c r="F61" s="55"/>
      <c r="G61" s="42" t="s">
        <v>29</v>
      </c>
      <c r="H61" s="53" t="s">
        <v>29</v>
      </c>
      <c r="I61" s="1"/>
      <c r="J61" s="1"/>
      <c r="K61" s="4"/>
      <c r="L61" s="1"/>
      <c r="AA61" s="2">
        <f>IF(UPPER(LEFT(D20,1))="Y",1,0)</f>
        <v>1</v>
      </c>
      <c r="AB61" s="21"/>
      <c r="AC61" s="21"/>
      <c r="AD61" s="21"/>
      <c r="AE61" s="21"/>
      <c r="AF61" s="21"/>
      <c r="AG61" s="21"/>
      <c r="AH61" s="21"/>
    </row>
    <row r="62" spans="1:34" ht="15.5" x14ac:dyDescent="0.35">
      <c r="A62" s="54" t="s">
        <v>71</v>
      </c>
      <c r="B62" s="55"/>
      <c r="C62" s="55"/>
      <c r="D62" s="55"/>
      <c r="E62" s="73"/>
      <c r="F62" s="55"/>
      <c r="G62" s="65">
        <f ca="1">AA101</f>
        <v>559.06934753299993</v>
      </c>
      <c r="H62" s="66">
        <f ca="1">AA102</f>
        <v>559.06934753299993</v>
      </c>
      <c r="I62" s="1"/>
      <c r="J62" s="1"/>
      <c r="K62" s="4"/>
      <c r="L62" s="1"/>
      <c r="AA62" s="11">
        <f>D14</f>
        <v>0.72804973298588938</v>
      </c>
      <c r="AB62" s="21"/>
      <c r="AC62" s="21"/>
      <c r="AD62" s="21"/>
      <c r="AE62" s="21"/>
      <c r="AF62" s="21"/>
      <c r="AG62" s="21"/>
      <c r="AH62" s="21"/>
    </row>
    <row r="63" spans="1:34" ht="15.5" x14ac:dyDescent="0.35">
      <c r="A63" s="71"/>
      <c r="B63" s="55"/>
      <c r="C63" s="55"/>
      <c r="D63" s="56" t="s">
        <v>55</v>
      </c>
      <c r="E63" s="73" t="s">
        <v>56</v>
      </c>
      <c r="F63" s="55"/>
      <c r="G63" s="69"/>
      <c r="H63" s="70"/>
      <c r="I63" s="1"/>
      <c r="J63" s="1"/>
      <c r="K63" s="4"/>
      <c r="L63" s="1"/>
      <c r="AA63" s="2">
        <f>F40*E40</f>
        <v>12</v>
      </c>
      <c r="AB63" s="21"/>
      <c r="AC63" s="21"/>
      <c r="AD63" s="21"/>
      <c r="AE63" s="21"/>
      <c r="AF63" s="21"/>
      <c r="AG63" s="21"/>
      <c r="AH63" s="21"/>
    </row>
    <row r="64" spans="1:34" ht="15.5" x14ac:dyDescent="0.35">
      <c r="A64" s="54" t="s">
        <v>72</v>
      </c>
      <c r="B64" s="55"/>
      <c r="C64" s="55"/>
      <c r="D64" s="56" t="s">
        <v>58</v>
      </c>
      <c r="E64" s="73" t="s">
        <v>59</v>
      </c>
      <c r="F64" s="68"/>
      <c r="G64" s="42" t="s">
        <v>22</v>
      </c>
      <c r="H64" s="53" t="s">
        <v>23</v>
      </c>
      <c r="I64" s="1"/>
      <c r="J64" s="4"/>
      <c r="K64" s="7" t="s">
        <v>73</v>
      </c>
      <c r="L64" s="1"/>
      <c r="AA64" s="2">
        <f>G40*D4</f>
        <v>12</v>
      </c>
      <c r="AB64" s="21"/>
      <c r="AC64" s="21"/>
      <c r="AD64" s="21"/>
      <c r="AE64" s="21"/>
      <c r="AF64" s="21"/>
      <c r="AG64" s="21"/>
      <c r="AH64" s="21"/>
    </row>
    <row r="65" spans="1:34" ht="15.5" x14ac:dyDescent="0.35">
      <c r="A65" s="54" t="s">
        <v>74</v>
      </c>
      <c r="B65" s="55"/>
      <c r="C65" s="55"/>
      <c r="D65" s="34">
        <v>58.65</v>
      </c>
      <c r="E65" s="74">
        <f ca="1">AA103</f>
        <v>0</v>
      </c>
      <c r="F65" s="68"/>
      <c r="G65" s="65">
        <f ca="1">AA104</f>
        <v>58.65</v>
      </c>
      <c r="H65" s="66">
        <f ca="1">AA105</f>
        <v>58.65</v>
      </c>
      <c r="I65" s="1"/>
      <c r="J65" s="1"/>
      <c r="K65" s="7" t="s">
        <v>75</v>
      </c>
      <c r="L65" s="1"/>
      <c r="AA65" s="2">
        <f>F41*E41</f>
        <v>54</v>
      </c>
      <c r="AB65" s="21"/>
      <c r="AC65" s="21"/>
      <c r="AD65" s="21"/>
      <c r="AE65" s="21"/>
      <c r="AF65" s="21"/>
      <c r="AG65" s="21"/>
      <c r="AH65" s="21"/>
    </row>
    <row r="66" spans="1:34" ht="15.5" x14ac:dyDescent="0.35">
      <c r="A66" s="54" t="s">
        <v>76</v>
      </c>
      <c r="B66" s="55"/>
      <c r="C66" s="55"/>
      <c r="D66" s="34">
        <v>21</v>
      </c>
      <c r="E66" s="74">
        <f ca="1">AA106</f>
        <v>0</v>
      </c>
      <c r="F66" s="68"/>
      <c r="G66" s="65">
        <f ca="1">AA107</f>
        <v>21</v>
      </c>
      <c r="H66" s="66">
        <f ca="1">AA108</f>
        <v>21</v>
      </c>
      <c r="I66" s="1"/>
      <c r="J66" s="4"/>
      <c r="K66" s="7" t="s">
        <v>77</v>
      </c>
      <c r="L66" s="1"/>
      <c r="AA66" s="2">
        <f>G41*D4</f>
        <v>54</v>
      </c>
      <c r="AB66" s="21"/>
      <c r="AC66" s="21"/>
      <c r="AD66" s="21"/>
      <c r="AE66" s="21"/>
      <c r="AF66" s="21"/>
      <c r="AG66" s="21"/>
      <c r="AH66" s="21"/>
    </row>
    <row r="67" spans="1:34" ht="15.5" x14ac:dyDescent="0.35">
      <c r="A67" s="54" t="s">
        <v>125</v>
      </c>
      <c r="B67" s="55"/>
      <c r="C67" s="55"/>
      <c r="D67" s="34"/>
      <c r="E67" s="74"/>
      <c r="F67" s="68"/>
      <c r="G67" s="65">
        <f>AA109</f>
        <v>0</v>
      </c>
      <c r="H67" s="66">
        <f>AA110</f>
        <v>0</v>
      </c>
      <c r="I67" s="1"/>
      <c r="J67" s="4"/>
      <c r="K67" s="7" t="s">
        <v>79</v>
      </c>
      <c r="L67" s="1"/>
      <c r="AA67" s="2">
        <f>F42*E42</f>
        <v>17</v>
      </c>
      <c r="AB67" s="21"/>
      <c r="AC67" s="21"/>
      <c r="AD67" s="21"/>
      <c r="AE67" s="21"/>
      <c r="AF67" s="21"/>
      <c r="AG67" s="21"/>
      <c r="AH67" s="21"/>
    </row>
    <row r="68" spans="1:34" ht="15.5" x14ac:dyDescent="0.35">
      <c r="A68" s="54" t="s">
        <v>78</v>
      </c>
      <c r="B68" s="55"/>
      <c r="C68" s="55"/>
      <c r="D68" s="34">
        <v>0</v>
      </c>
      <c r="E68" s="74">
        <f ca="1">AA111</f>
        <v>0</v>
      </c>
      <c r="F68" s="68"/>
      <c r="G68" s="65">
        <f ca="1">AA112</f>
        <v>0</v>
      </c>
      <c r="H68" s="66">
        <f ca="1">AA113</f>
        <v>0</v>
      </c>
      <c r="I68" s="1"/>
      <c r="J68" s="1"/>
      <c r="K68" s="4"/>
      <c r="L68" s="1"/>
      <c r="AA68" s="2">
        <f>G42*D4</f>
        <v>17</v>
      </c>
      <c r="AB68" s="21"/>
      <c r="AC68" s="21"/>
      <c r="AD68" s="21"/>
      <c r="AE68" s="21"/>
      <c r="AF68" s="21"/>
      <c r="AG68" s="21"/>
      <c r="AH68" s="21"/>
    </row>
    <row r="69" spans="1:34" ht="15.5" x14ac:dyDescent="0.35">
      <c r="A69" s="75" t="s">
        <v>80</v>
      </c>
      <c r="B69" s="55"/>
      <c r="C69" s="55"/>
      <c r="D69" s="34">
        <v>13.6</v>
      </c>
      <c r="E69" s="74">
        <f ca="1">AA114</f>
        <v>0</v>
      </c>
      <c r="F69" s="68"/>
      <c r="G69" s="65">
        <f ca="1">AA115</f>
        <v>13.6</v>
      </c>
      <c r="H69" s="66">
        <f ca="1">AA116</f>
        <v>13.6</v>
      </c>
      <c r="I69" s="1"/>
      <c r="J69" s="1"/>
      <c r="K69" s="4"/>
      <c r="L69" s="1"/>
      <c r="AA69" s="2">
        <f>1.1*E8</f>
        <v>1.1330000000000002</v>
      </c>
      <c r="AB69" s="21"/>
      <c r="AC69" s="21"/>
      <c r="AD69" s="21"/>
      <c r="AE69" s="21"/>
      <c r="AF69" s="21"/>
      <c r="AG69" s="21"/>
      <c r="AH69" s="21"/>
    </row>
    <row r="70" spans="1:34" ht="15.5" x14ac:dyDescent="0.35">
      <c r="A70" s="71"/>
      <c r="B70" s="55"/>
      <c r="C70" s="55"/>
      <c r="D70" s="55"/>
      <c r="E70" s="68"/>
      <c r="F70" s="68"/>
      <c r="G70" s="42" t="s">
        <v>29</v>
      </c>
      <c r="H70" s="53" t="s">
        <v>29</v>
      </c>
      <c r="I70" s="1"/>
      <c r="J70" s="1"/>
      <c r="K70" s="4"/>
      <c r="L70" s="1"/>
      <c r="AA70" s="2">
        <f>F43*E43</f>
        <v>0</v>
      </c>
      <c r="AB70" s="21"/>
      <c r="AC70" s="21"/>
      <c r="AD70" s="21"/>
      <c r="AE70" s="21"/>
      <c r="AF70" s="21"/>
      <c r="AG70" s="21"/>
      <c r="AH70" s="21"/>
    </row>
    <row r="71" spans="1:34" ht="15.5" x14ac:dyDescent="0.35">
      <c r="A71" s="54" t="s">
        <v>81</v>
      </c>
      <c r="B71" s="55"/>
      <c r="C71" s="55"/>
      <c r="D71" s="55"/>
      <c r="E71" s="68"/>
      <c r="F71" s="68"/>
      <c r="G71" s="65">
        <f ca="1">AA117</f>
        <v>93.25</v>
      </c>
      <c r="H71" s="66">
        <f ca="1">AA118</f>
        <v>93.25</v>
      </c>
      <c r="I71" s="1"/>
      <c r="J71" s="1"/>
      <c r="K71" s="4"/>
      <c r="L71" s="1"/>
      <c r="AA71" s="2">
        <f>G43*D4</f>
        <v>0</v>
      </c>
      <c r="AB71" s="21"/>
      <c r="AC71" s="21"/>
      <c r="AD71" s="21"/>
      <c r="AE71" s="21"/>
      <c r="AF71" s="21"/>
      <c r="AG71" s="21"/>
      <c r="AH71" s="21"/>
    </row>
    <row r="72" spans="1:34" ht="15.5" x14ac:dyDescent="0.35">
      <c r="A72" s="38"/>
      <c r="B72" s="38"/>
      <c r="C72" s="38"/>
      <c r="D72" s="38"/>
      <c r="E72" s="38"/>
      <c r="F72" s="38"/>
      <c r="G72" s="38"/>
      <c r="H72" s="38"/>
      <c r="I72" s="1"/>
      <c r="J72" s="1"/>
      <c r="K72" s="4"/>
      <c r="L72" s="1"/>
      <c r="AA72" s="2">
        <f>F44*E44</f>
        <v>0</v>
      </c>
      <c r="AB72" s="21"/>
      <c r="AC72" s="21"/>
      <c r="AD72" s="21"/>
      <c r="AE72" s="21"/>
      <c r="AF72" s="21"/>
      <c r="AG72" s="21"/>
      <c r="AH72" s="21"/>
    </row>
    <row r="73" spans="1:34" ht="15.5" x14ac:dyDescent="0.35">
      <c r="A73" s="41" t="s">
        <v>82</v>
      </c>
      <c r="B73" s="35"/>
      <c r="C73" s="29"/>
      <c r="D73" s="35"/>
      <c r="E73" s="42" t="s">
        <v>22</v>
      </c>
      <c r="F73" s="42" t="s">
        <v>23</v>
      </c>
      <c r="G73" s="35"/>
      <c r="H73" s="44"/>
      <c r="I73" s="1"/>
      <c r="J73" s="1"/>
      <c r="K73" s="4"/>
      <c r="L73" s="1"/>
      <c r="AA73" s="2">
        <f>G44*D4</f>
        <v>0</v>
      </c>
      <c r="AB73" s="21"/>
      <c r="AC73" s="21"/>
      <c r="AD73" s="21"/>
      <c r="AE73" s="21"/>
      <c r="AF73" s="21"/>
      <c r="AG73" s="21"/>
      <c r="AH73" s="21"/>
    </row>
    <row r="74" spans="1:34" ht="15.5" x14ac:dyDescent="0.35">
      <c r="A74" s="41" t="s">
        <v>83</v>
      </c>
      <c r="B74" s="35"/>
      <c r="C74" s="29"/>
      <c r="D74" s="35"/>
      <c r="E74" s="65">
        <f>AA119</f>
        <v>643.75</v>
      </c>
      <c r="F74" s="65">
        <f>AA120</f>
        <v>643.75</v>
      </c>
      <c r="G74" s="69"/>
      <c r="H74" s="70"/>
      <c r="I74" s="1"/>
      <c r="J74" s="1"/>
      <c r="K74" s="4"/>
      <c r="L74" s="1"/>
      <c r="AA74" s="2">
        <f>E8</f>
        <v>1.03</v>
      </c>
      <c r="AB74" s="21"/>
      <c r="AC74" s="21"/>
      <c r="AD74" s="21"/>
      <c r="AE74" s="21"/>
      <c r="AF74" s="21"/>
      <c r="AG74" s="21"/>
      <c r="AH74" s="21"/>
    </row>
    <row r="75" spans="1:34" ht="15.5" x14ac:dyDescent="0.35">
      <c r="A75" s="41"/>
      <c r="B75" s="35"/>
      <c r="C75" s="29"/>
      <c r="D75" s="35"/>
      <c r="E75" s="65"/>
      <c r="F75" s="65"/>
      <c r="G75" s="69"/>
      <c r="H75" s="70"/>
      <c r="I75" s="1"/>
      <c r="J75" s="1"/>
      <c r="K75" s="4"/>
      <c r="L75" s="1"/>
      <c r="AA75" s="2">
        <f>F45*E45</f>
        <v>11.33</v>
      </c>
      <c r="AB75" s="21"/>
      <c r="AC75" s="21"/>
      <c r="AD75" s="21"/>
      <c r="AE75" s="21"/>
      <c r="AF75" s="21"/>
      <c r="AG75" s="21"/>
      <c r="AH75" s="21"/>
    </row>
    <row r="76" spans="1:34" ht="15.5" x14ac:dyDescent="0.35">
      <c r="A76" s="41" t="s">
        <v>84</v>
      </c>
      <c r="B76" s="35"/>
      <c r="C76" s="35"/>
      <c r="D76" s="35"/>
      <c r="E76" s="65">
        <f ca="1">AA123</f>
        <v>559.06934753299993</v>
      </c>
      <c r="F76" s="65">
        <f ca="1">AA124</f>
        <v>559.06934753299993</v>
      </c>
      <c r="G76" s="69"/>
      <c r="H76" s="70"/>
      <c r="I76" s="1"/>
      <c r="J76" s="4"/>
      <c r="K76" s="4"/>
      <c r="L76" s="1"/>
      <c r="AA76" s="2">
        <f>G45*D4</f>
        <v>11.33</v>
      </c>
      <c r="AB76" s="21"/>
      <c r="AC76" s="21"/>
      <c r="AD76" s="21"/>
      <c r="AE76" s="21"/>
      <c r="AF76" s="21"/>
      <c r="AG76" s="21"/>
      <c r="AH76" s="21"/>
    </row>
    <row r="77" spans="1:34" ht="15.5" x14ac:dyDescent="0.35">
      <c r="A77" s="33"/>
      <c r="B77" s="35"/>
      <c r="C77" s="35"/>
      <c r="D77" s="35"/>
      <c r="E77" s="42" t="s">
        <v>29</v>
      </c>
      <c r="F77" s="42" t="s">
        <v>29</v>
      </c>
      <c r="G77" s="69"/>
      <c r="H77" s="70"/>
      <c r="I77" s="1"/>
      <c r="J77" s="1"/>
      <c r="K77" s="4"/>
      <c r="L77" s="1"/>
      <c r="AA77" s="2">
        <f>E8</f>
        <v>1.03</v>
      </c>
      <c r="AB77" s="21"/>
      <c r="AC77" s="21"/>
      <c r="AD77" s="21"/>
      <c r="AE77" s="21"/>
      <c r="AF77" s="21"/>
      <c r="AG77" s="21"/>
      <c r="AH77" s="21"/>
    </row>
    <row r="78" spans="1:34" ht="15.5" x14ac:dyDescent="0.35">
      <c r="A78" s="41" t="s">
        <v>85</v>
      </c>
      <c r="B78" s="29"/>
      <c r="C78" s="35"/>
      <c r="D78" s="35"/>
      <c r="E78" s="65">
        <f ca="1">AA125</f>
        <v>84.680652467000073</v>
      </c>
      <c r="F78" s="65">
        <f ca="1">AA126</f>
        <v>84.680652467000073</v>
      </c>
      <c r="G78" s="35"/>
      <c r="H78" s="44"/>
      <c r="I78" s="1"/>
      <c r="J78" s="4"/>
      <c r="K78" s="4"/>
      <c r="L78" s="1"/>
      <c r="AA78" s="2">
        <f>F46*E46</f>
        <v>4.3260000000000005</v>
      </c>
      <c r="AB78" s="21"/>
      <c r="AC78" s="21"/>
      <c r="AD78" s="21"/>
      <c r="AE78" s="21"/>
      <c r="AF78" s="21"/>
      <c r="AG78" s="21"/>
      <c r="AH78" s="21"/>
    </row>
    <row r="79" spans="1:34" ht="15.5" x14ac:dyDescent="0.35">
      <c r="A79" s="41" t="s">
        <v>86</v>
      </c>
      <c r="B79" s="29"/>
      <c r="C79" s="35"/>
      <c r="D79" s="29"/>
      <c r="E79" s="65">
        <f ca="1">AA127</f>
        <v>93.25</v>
      </c>
      <c r="F79" s="65">
        <f ca="1">AA128</f>
        <v>93.25</v>
      </c>
      <c r="G79" s="69"/>
      <c r="H79" s="70"/>
      <c r="I79" s="1"/>
      <c r="J79" s="1"/>
      <c r="K79" s="1"/>
      <c r="L79" s="1"/>
      <c r="AA79" s="2">
        <f>G46*D4</f>
        <v>4.3260000000000005</v>
      </c>
      <c r="AB79" s="21"/>
      <c r="AC79" s="21"/>
      <c r="AD79" s="21"/>
      <c r="AE79" s="21"/>
      <c r="AF79" s="21"/>
      <c r="AG79" s="21"/>
      <c r="AH79" s="21"/>
    </row>
    <row r="80" spans="1:34" ht="15.5" x14ac:dyDescent="0.35">
      <c r="A80" s="33"/>
      <c r="B80" s="35"/>
      <c r="C80" s="29"/>
      <c r="D80" s="35"/>
      <c r="E80" s="42" t="s">
        <v>29</v>
      </c>
      <c r="F80" s="42" t="s">
        <v>29</v>
      </c>
      <c r="G80" s="69"/>
      <c r="H80" s="70"/>
      <c r="I80" s="1"/>
      <c r="J80" s="1"/>
      <c r="K80" s="4"/>
      <c r="L80" s="1"/>
      <c r="AA80" s="2">
        <f>F47*E47</f>
        <v>0</v>
      </c>
      <c r="AB80" s="21"/>
      <c r="AC80" s="21"/>
      <c r="AD80" s="21"/>
      <c r="AE80" s="21"/>
      <c r="AF80" s="21"/>
      <c r="AG80" s="21"/>
      <c r="AH80" s="21"/>
    </row>
    <row r="81" spans="1:34" ht="15.5" x14ac:dyDescent="0.35">
      <c r="A81" s="41" t="s">
        <v>87</v>
      </c>
      <c r="B81" s="35"/>
      <c r="C81" s="35"/>
      <c r="D81" s="35"/>
      <c r="E81" s="65">
        <f ca="1">AA129</f>
        <v>-8.5693475329999274</v>
      </c>
      <c r="F81" s="65">
        <f ca="1">AA130</f>
        <v>-8.5693475329999274</v>
      </c>
      <c r="G81" s="35"/>
      <c r="H81" s="44"/>
      <c r="I81" s="1"/>
      <c r="J81" s="1"/>
      <c r="K81" s="4"/>
      <c r="L81" s="1"/>
      <c r="AA81" s="2">
        <f>G47*D4</f>
        <v>0</v>
      </c>
      <c r="AB81" s="21"/>
      <c r="AC81" s="21"/>
      <c r="AD81" s="21"/>
      <c r="AE81" s="21"/>
      <c r="AF81" s="21"/>
      <c r="AG81" s="21"/>
      <c r="AH81" s="21"/>
    </row>
    <row r="82" spans="1:34" ht="15.5" x14ac:dyDescent="0.35">
      <c r="A82" s="33"/>
      <c r="B82" s="35"/>
      <c r="C82" s="35"/>
      <c r="D82" s="35"/>
      <c r="E82" s="35"/>
      <c r="F82" s="35"/>
      <c r="G82" s="35"/>
      <c r="H82" s="44"/>
      <c r="I82" s="10"/>
      <c r="J82" s="1"/>
      <c r="K82" s="4"/>
      <c r="L82" s="1"/>
      <c r="AA82" s="2">
        <f ca="1">IF(K50=0,0,HLOOKUP(A2,INDIRECT(K22),2, FALSE)*INDIRECT(K50)*0.01)</f>
        <v>0</v>
      </c>
      <c r="AB82" s="21"/>
      <c r="AC82" s="21"/>
      <c r="AD82" s="21"/>
      <c r="AE82" s="21"/>
      <c r="AF82" s="21"/>
      <c r="AG82" s="21"/>
      <c r="AH82" s="21"/>
    </row>
    <row r="83" spans="1:34" ht="15.5" x14ac:dyDescent="0.35">
      <c r="A83" s="41" t="s">
        <v>88</v>
      </c>
      <c r="B83" s="35"/>
      <c r="C83" s="29"/>
      <c r="D83" s="35"/>
      <c r="E83" s="31" t="s">
        <v>89</v>
      </c>
      <c r="F83" s="69"/>
      <c r="G83" s="77">
        <f ca="1">AA131</f>
        <v>542.78577430388339</v>
      </c>
      <c r="H83" s="70"/>
      <c r="I83" s="10"/>
      <c r="J83" s="1"/>
      <c r="K83" s="4"/>
      <c r="L83" s="1"/>
      <c r="AA83" s="2">
        <f ca="1">H54/D4</f>
        <v>30.65</v>
      </c>
      <c r="AB83" s="21"/>
      <c r="AC83" s="21"/>
      <c r="AD83" s="21"/>
      <c r="AE83" s="21"/>
      <c r="AF83" s="21"/>
      <c r="AG83" s="21"/>
      <c r="AH83" s="21"/>
    </row>
    <row r="84" spans="1:34" ht="15.5" x14ac:dyDescent="0.35">
      <c r="A84" s="33"/>
      <c r="B84" s="35"/>
      <c r="C84" s="35"/>
      <c r="D84" s="35"/>
      <c r="E84" s="31" t="s">
        <v>90</v>
      </c>
      <c r="F84" s="69"/>
      <c r="G84" s="77">
        <f ca="1">AA132</f>
        <v>90.533980582524265</v>
      </c>
      <c r="H84" s="70"/>
      <c r="I84" s="22" t="s">
        <v>136</v>
      </c>
      <c r="J84" s="1"/>
      <c r="K84" s="4"/>
      <c r="L84" s="1"/>
      <c r="AA84" s="2">
        <f ca="1">IF(E54=0,D54*D4,IF(INDIRECT(K50)&gt;0,E54,D54*D4))</f>
        <v>30.65</v>
      </c>
      <c r="AB84" s="21"/>
      <c r="AC84" s="21"/>
      <c r="AD84" s="21"/>
      <c r="AE84" s="21"/>
      <c r="AF84" s="21"/>
      <c r="AG84" s="21"/>
      <c r="AH84" s="21"/>
    </row>
    <row r="85" spans="1:34" ht="15.5" x14ac:dyDescent="0.35">
      <c r="A85" s="33"/>
      <c r="B85" s="35"/>
      <c r="C85" s="29"/>
      <c r="D85" s="35"/>
      <c r="E85" s="69"/>
      <c r="F85" s="69"/>
      <c r="G85" s="42" t="s">
        <v>29</v>
      </c>
      <c r="H85" s="70"/>
      <c r="I85" s="22" t="s">
        <v>137</v>
      </c>
      <c r="J85" s="1"/>
      <c r="K85" s="4"/>
      <c r="L85" s="1"/>
      <c r="AA85" s="2">
        <f ca="1">IF(K51=0,0,HLOOKUP(A2,INDIRECT(K22),3, FALSE)*INDIRECT(K51)*0.01)</f>
        <v>0</v>
      </c>
      <c r="AB85" s="21"/>
      <c r="AC85" s="21"/>
      <c r="AD85" s="21"/>
      <c r="AE85" s="21"/>
      <c r="AF85" s="21"/>
      <c r="AG85" s="21"/>
      <c r="AH85" s="21"/>
    </row>
    <row r="86" spans="1:34" ht="15.5" x14ac:dyDescent="0.35">
      <c r="A86" s="33"/>
      <c r="B86" s="35"/>
      <c r="C86" s="35"/>
      <c r="D86" s="35"/>
      <c r="E86" s="31" t="s">
        <v>91</v>
      </c>
      <c r="F86" s="35"/>
      <c r="G86" s="77">
        <f ca="1">AA133</f>
        <v>633.31975488640762</v>
      </c>
      <c r="H86" s="44"/>
      <c r="I86" s="22" t="s">
        <v>138</v>
      </c>
      <c r="J86" s="1"/>
      <c r="K86" s="4"/>
      <c r="L86" s="1"/>
      <c r="AA86" s="2">
        <f ca="1">H55/D4</f>
        <v>41.25</v>
      </c>
      <c r="AB86" s="21"/>
      <c r="AC86" s="21"/>
      <c r="AD86" s="21"/>
      <c r="AE86" s="21"/>
      <c r="AF86" s="21"/>
      <c r="AG86" s="21"/>
      <c r="AH86" s="21"/>
    </row>
    <row r="87" spans="1:34" ht="15.5" x14ac:dyDescent="0.35">
      <c r="A87" s="38"/>
      <c r="B87" s="38"/>
      <c r="C87" s="38"/>
      <c r="D87" s="38"/>
      <c r="E87" s="38"/>
      <c r="F87" s="38"/>
      <c r="G87" s="38"/>
      <c r="H87" s="38"/>
      <c r="I87" s="10"/>
      <c r="J87" s="10"/>
      <c r="K87" s="4"/>
      <c r="L87" s="1"/>
      <c r="AA87" s="2">
        <f ca="1">IF(E55=0,D55*D4,IF(INDIRECT(K51)&gt;0,E55,D55*D4))</f>
        <v>41.25</v>
      </c>
      <c r="AB87" s="21"/>
      <c r="AC87" s="21"/>
      <c r="AD87" s="21"/>
      <c r="AE87" s="21"/>
      <c r="AF87" s="21"/>
      <c r="AG87" s="21"/>
      <c r="AH87" s="21"/>
    </row>
    <row r="88" spans="1:34" ht="15.5" x14ac:dyDescent="0.35">
      <c r="A88" s="33"/>
      <c r="B88" s="31" t="s">
        <v>92</v>
      </c>
      <c r="C88" s="69"/>
      <c r="D88" s="35"/>
      <c r="E88" s="69"/>
      <c r="F88" s="69"/>
      <c r="G88" s="78">
        <f ca="1">AA134</f>
        <v>0.4904029288175103</v>
      </c>
      <c r="H88" s="44"/>
      <c r="I88" s="10"/>
      <c r="J88" s="10"/>
      <c r="K88" s="1"/>
      <c r="L88" s="1"/>
      <c r="AA88" s="2">
        <f ca="1">IF(K52=0,0,HLOOKUP(A2,INDIRECT(K22),4, FALSE)*INDIRECT(K52)*0.01)</f>
        <v>0</v>
      </c>
      <c r="AB88" s="21"/>
      <c r="AC88" s="21"/>
      <c r="AD88" s="21"/>
      <c r="AE88" s="21"/>
      <c r="AF88" s="21"/>
      <c r="AG88" s="21"/>
      <c r="AH88" s="21"/>
    </row>
    <row r="89" spans="1:34" ht="15.5" x14ac:dyDescent="0.35">
      <c r="A89" s="33"/>
      <c r="B89" s="31" t="s">
        <v>93</v>
      </c>
      <c r="C89" s="69"/>
      <c r="D89" s="34">
        <v>0</v>
      </c>
      <c r="E89" s="31" t="s">
        <v>94</v>
      </c>
      <c r="F89" s="35"/>
      <c r="G89" s="78">
        <f ca="1">AA135</f>
        <v>0.4904029288175103</v>
      </c>
      <c r="H89" s="70"/>
      <c r="I89" s="10"/>
      <c r="J89" s="10"/>
      <c r="K89" s="1"/>
      <c r="L89" s="1"/>
      <c r="AA89" s="2">
        <f ca="1">H56/D4</f>
        <v>0</v>
      </c>
      <c r="AB89" s="21"/>
      <c r="AC89" s="21"/>
      <c r="AD89" s="21"/>
      <c r="AE89" s="21"/>
      <c r="AF89" s="21"/>
      <c r="AG89" s="21"/>
      <c r="AH89" s="21"/>
    </row>
    <row r="90" spans="1:34" ht="15.5" x14ac:dyDescent="0.35">
      <c r="A90" s="33"/>
      <c r="B90" s="31"/>
      <c r="C90" s="69"/>
      <c r="D90" s="79"/>
      <c r="E90" s="31"/>
      <c r="F90" s="35"/>
      <c r="G90" s="78"/>
      <c r="H90" s="70"/>
      <c r="I90" s="12">
        <f ca="1">AA137</f>
        <v>-8.5693475329999274</v>
      </c>
      <c r="J90" s="10"/>
      <c r="K90" s="1"/>
      <c r="L90" s="1"/>
      <c r="AA90" s="2">
        <f ca="1">IF(E56=0,D56*D4,IF(INDIRECT(K52)&gt;0,E56,D56*D4))</f>
        <v>0</v>
      </c>
      <c r="AB90" s="21"/>
      <c r="AC90" s="21"/>
      <c r="AD90" s="21"/>
      <c r="AE90" s="21"/>
      <c r="AF90" s="21"/>
      <c r="AG90" s="21"/>
      <c r="AH90" s="21"/>
    </row>
    <row r="91" spans="1:34" ht="15.5" x14ac:dyDescent="0.35">
      <c r="A91" s="33"/>
      <c r="B91" s="80"/>
      <c r="C91" s="81" t="s">
        <v>134</v>
      </c>
      <c r="D91" s="82" t="s">
        <v>135</v>
      </c>
      <c r="E91" s="69"/>
      <c r="F91" s="69"/>
      <c r="G91" s="77">
        <f>AA136</f>
        <v>0.55330175407368909</v>
      </c>
      <c r="H91" s="83" t="str">
        <f>IF(G91&lt;=0.2499,"Low Risk",IF(AND(G91&gt;0.2499,G91&lt;0.4),"Moderate Risk","High Risk"))</f>
        <v>High Risk</v>
      </c>
      <c r="I91" s="12">
        <f>AA138</f>
        <v>0.17789375000000002</v>
      </c>
      <c r="J91" s="1"/>
      <c r="K91" s="1"/>
      <c r="L91" s="1"/>
      <c r="AA91" s="2">
        <f ca="1">IF(K53=0,0,HLOOKUP(A2,INDIRECT(K22),5, FALSE)*INDIRECT(K53)*0.01)</f>
        <v>0</v>
      </c>
      <c r="AB91" s="21"/>
      <c r="AC91" s="21"/>
      <c r="AD91" s="21"/>
      <c r="AE91" s="21"/>
      <c r="AF91" s="21"/>
      <c r="AG91" s="21"/>
      <c r="AH91" s="21"/>
    </row>
    <row r="92" spans="1:34" ht="15.5" x14ac:dyDescent="0.35">
      <c r="A92" s="33"/>
      <c r="B92" s="35"/>
      <c r="C92" s="35"/>
      <c r="D92" s="43"/>
      <c r="E92" s="69"/>
      <c r="F92" s="69"/>
      <c r="G92" s="43"/>
      <c r="H92" s="84" t="s">
        <v>95</v>
      </c>
      <c r="I92" s="12">
        <f>AA139</f>
        <v>323.74137500000001</v>
      </c>
      <c r="J92" s="1"/>
      <c r="K92" s="1"/>
      <c r="L92" s="1"/>
      <c r="AA92" s="2">
        <f ca="1">H57/D4</f>
        <v>14.85</v>
      </c>
      <c r="AB92" s="21"/>
      <c r="AC92" s="21"/>
      <c r="AD92" s="21"/>
      <c r="AE92" s="21"/>
      <c r="AF92" s="21"/>
      <c r="AG92" s="21"/>
      <c r="AH92" s="21"/>
    </row>
    <row r="93" spans="1:34" ht="15.5" x14ac:dyDescent="0.35">
      <c r="A93" s="33"/>
      <c r="B93" s="69"/>
      <c r="C93" s="42" t="s">
        <v>96</v>
      </c>
      <c r="D93" s="77"/>
      <c r="E93" s="42" t="s">
        <v>97</v>
      </c>
      <c r="F93" s="29"/>
      <c r="G93" s="43"/>
      <c r="H93" s="84" t="s">
        <v>98</v>
      </c>
      <c r="I93" s="12">
        <f>AA140</f>
        <v>356.18800418493737</v>
      </c>
      <c r="J93" s="10"/>
      <c r="K93" s="4"/>
      <c r="L93" s="1"/>
      <c r="AA93" s="2">
        <f ca="1">IF(E57=0,D57*D4,IF(INDIRECT(K53)&gt;0,E57,D57*D4))</f>
        <v>14.85</v>
      </c>
      <c r="AB93" s="22" t="s">
        <v>136</v>
      </c>
      <c r="AC93" s="21"/>
      <c r="AD93" s="21"/>
      <c r="AE93" s="21"/>
      <c r="AF93" s="21"/>
      <c r="AG93" s="21"/>
      <c r="AH93" s="21"/>
    </row>
    <row r="94" spans="1:34" ht="15.5" x14ac:dyDescent="0.35">
      <c r="A94" s="33"/>
      <c r="B94" s="35"/>
      <c r="C94" s="65"/>
      <c r="D94" s="77"/>
      <c r="E94" s="42" t="s">
        <v>99</v>
      </c>
      <c r="F94" s="35"/>
      <c r="G94" s="43"/>
      <c r="H94" s="84" t="s">
        <v>100</v>
      </c>
      <c r="I94" s="10"/>
      <c r="J94" s="10"/>
      <c r="K94" s="4"/>
      <c r="L94" s="1"/>
      <c r="AA94" s="2">
        <f ca="1">IF(K54=0,0,HLOOKUP(A2,INDIRECT(K22),6, FALSE)*INDIRECT(K54)*0.01)</f>
        <v>0</v>
      </c>
      <c r="AB94" s="22" t="s">
        <v>137</v>
      </c>
      <c r="AC94" s="21"/>
      <c r="AD94" s="21"/>
      <c r="AE94" s="21"/>
      <c r="AF94" s="21"/>
      <c r="AG94" s="21"/>
      <c r="AH94" s="21"/>
    </row>
    <row r="95" spans="1:34" ht="15.5" x14ac:dyDescent="0.35">
      <c r="A95" s="33"/>
      <c r="B95" s="35"/>
      <c r="C95" s="65"/>
      <c r="D95" s="85"/>
      <c r="E95" s="42"/>
      <c r="F95" s="29"/>
      <c r="G95" s="35"/>
      <c r="H95" s="84" t="s">
        <v>101</v>
      </c>
      <c r="I95" s="12">
        <f ca="1">AA143</f>
        <v>2.4058495604334311E-2</v>
      </c>
      <c r="J95" s="12">
        <f ca="1">AA144</f>
        <v>2.4058495604334311E-2</v>
      </c>
      <c r="K95" s="4"/>
      <c r="L95" s="1"/>
      <c r="AA95" s="2">
        <f ca="1">H58/D4</f>
        <v>0</v>
      </c>
      <c r="AB95" s="22" t="s">
        <v>138</v>
      </c>
      <c r="AC95" s="21"/>
      <c r="AD95" s="21"/>
      <c r="AE95" s="21"/>
      <c r="AF95" s="21"/>
      <c r="AG95" s="21"/>
      <c r="AH95" s="21"/>
    </row>
    <row r="96" spans="1:34" ht="15.5" x14ac:dyDescent="0.35">
      <c r="A96" s="33"/>
      <c r="B96" s="35"/>
      <c r="C96" s="65">
        <f ca="1">AA141</f>
        <v>336.93301652638934</v>
      </c>
      <c r="D96" s="42"/>
      <c r="E96" s="42" t="s">
        <v>102</v>
      </c>
      <c r="F96" s="35"/>
      <c r="G96" s="43"/>
      <c r="H96" s="58"/>
      <c r="I96" s="12">
        <f ca="1">AA146</f>
        <v>0.99445793007686667</v>
      </c>
      <c r="J96" s="12">
        <f ca="1">AA147</f>
        <v>0.99445793007686667</v>
      </c>
      <c r="K96" s="4"/>
      <c r="L96" s="1"/>
      <c r="AA96" s="2">
        <f ca="1">IF(E58=0,D58*D4,IF(INDIRECT(K54)&gt;0,E58,D58*D4))</f>
        <v>0</v>
      </c>
      <c r="AB96" s="21"/>
      <c r="AC96" s="21"/>
      <c r="AD96" s="21"/>
      <c r="AE96" s="21"/>
      <c r="AF96" s="21"/>
      <c r="AG96" s="21"/>
      <c r="AH96" s="21"/>
    </row>
    <row r="97" spans="1:34" ht="15.5" x14ac:dyDescent="0.35">
      <c r="A97" s="33"/>
      <c r="B97" s="35"/>
      <c r="C97" s="65">
        <f ca="1">AA142</f>
        <v>144.59149426652314</v>
      </c>
      <c r="D97" s="42"/>
      <c r="E97" s="42" t="s">
        <v>103</v>
      </c>
      <c r="F97" s="35"/>
      <c r="G97" s="35"/>
      <c r="H97" s="84" t="s">
        <v>104</v>
      </c>
      <c r="I97" s="12">
        <f ca="1">AA149</f>
        <v>0.39882684157287313</v>
      </c>
      <c r="J97" s="12">
        <f ca="1">AA150</f>
        <v>0.39882684157287313</v>
      </c>
      <c r="K97" s="1"/>
      <c r="L97" s="1"/>
      <c r="AA97" s="2">
        <f ca="1">SUM(H25:H44,H47:H58)*C60*D60*0.0001</f>
        <v>14.415199533000001</v>
      </c>
      <c r="AB97" s="21"/>
      <c r="AC97" s="21"/>
      <c r="AD97" s="21"/>
      <c r="AE97" s="21"/>
      <c r="AF97" s="21"/>
      <c r="AG97" s="21"/>
      <c r="AH97" s="21"/>
    </row>
    <row r="98" spans="1:34" ht="15.5" x14ac:dyDescent="0.35">
      <c r="A98" s="33"/>
      <c r="B98" s="35"/>
      <c r="C98" s="65">
        <f ca="1">AA145</f>
        <v>-8.5693475329999274</v>
      </c>
      <c r="D98" s="42"/>
      <c r="E98" s="42" t="s">
        <v>105</v>
      </c>
      <c r="F98" s="35"/>
      <c r="G98" s="86"/>
      <c r="H98" s="84" t="s">
        <v>106</v>
      </c>
      <c r="I98" s="12">
        <f ca="1">AA152</f>
        <v>0.4904029288175103</v>
      </c>
      <c r="J98" s="12">
        <f ca="1">AA153</f>
        <v>0.4904029288175103</v>
      </c>
      <c r="K98" s="1"/>
      <c r="L98" s="1"/>
      <c r="AA98" s="2">
        <f ca="1">IF(K58=0,0,HLOOKUP(A2,INDIRECT(K22),7, FALSE)*INDIRECT(K58)*0.01)</f>
        <v>0</v>
      </c>
      <c r="AB98" s="21"/>
      <c r="AC98" s="21"/>
      <c r="AD98" s="21"/>
      <c r="AE98" s="21"/>
      <c r="AF98" s="21"/>
      <c r="AG98" s="21"/>
      <c r="AH98" s="21"/>
    </row>
    <row r="99" spans="1:34" ht="15.5" x14ac:dyDescent="0.35">
      <c r="A99" s="33"/>
      <c r="B99" s="35"/>
      <c r="C99" s="65">
        <f ca="1">AA148</f>
        <v>-161.730189332523</v>
      </c>
      <c r="D99" s="42"/>
      <c r="E99" s="42" t="s">
        <v>107</v>
      </c>
      <c r="F99" s="35"/>
      <c r="G99" s="86"/>
      <c r="H99" s="84" t="s">
        <v>108</v>
      </c>
      <c r="I99" s="10"/>
      <c r="J99" s="10"/>
      <c r="K99" s="1"/>
      <c r="L99" s="1"/>
      <c r="AA99" s="2">
        <f ca="1">H60/D4</f>
        <v>14.415199533000001</v>
      </c>
      <c r="AB99" s="21"/>
      <c r="AC99" s="21"/>
      <c r="AD99" s="21"/>
      <c r="AE99" s="21"/>
      <c r="AF99" s="21"/>
      <c r="AG99" s="21"/>
      <c r="AH99" s="21"/>
    </row>
    <row r="100" spans="1:34" ht="15.5" x14ac:dyDescent="0.35">
      <c r="A100" s="33"/>
      <c r="B100" s="35"/>
      <c r="C100" s="65">
        <f ca="1">AA151</f>
        <v>-354.07171159238919</v>
      </c>
      <c r="D100" s="42"/>
      <c r="E100" s="42" t="s">
        <v>109</v>
      </c>
      <c r="F100" s="43"/>
      <c r="G100" s="43"/>
      <c r="H100" s="84" t="s">
        <v>110</v>
      </c>
      <c r="I100" s="10"/>
      <c r="J100" s="1"/>
      <c r="K100" s="1"/>
      <c r="L100" s="1"/>
      <c r="AA100" s="2">
        <f ca="1">IF(E60=0,J58,IF(INDIRECT(K58)&gt;0,E60,J58))</f>
        <v>14.415199533000001</v>
      </c>
      <c r="AB100" s="21"/>
      <c r="AC100" s="21"/>
      <c r="AD100" s="21"/>
      <c r="AE100" s="21"/>
      <c r="AF100" s="21"/>
      <c r="AG100" s="21"/>
      <c r="AH100" s="21"/>
    </row>
    <row r="101" spans="1:34" ht="15.5" x14ac:dyDescent="0.35">
      <c r="A101" s="33"/>
      <c r="B101" s="35"/>
      <c r="C101" s="69"/>
      <c r="D101" s="35"/>
      <c r="E101" s="35"/>
      <c r="F101" s="35"/>
      <c r="G101" s="43"/>
      <c r="H101" s="36" t="s">
        <v>111</v>
      </c>
      <c r="I101" s="10"/>
      <c r="J101" s="1"/>
      <c r="K101" s="1"/>
      <c r="L101" s="1"/>
      <c r="AA101" s="2">
        <f ca="1">H62/D4</f>
        <v>559.06934753299993</v>
      </c>
      <c r="AB101" s="21"/>
      <c r="AC101" s="21"/>
      <c r="AD101" s="21"/>
      <c r="AE101" s="21"/>
      <c r="AF101" s="21"/>
      <c r="AG101" s="21"/>
      <c r="AH101" s="21"/>
    </row>
    <row r="102" spans="1:34" ht="15.5" x14ac:dyDescent="0.35">
      <c r="A102" s="33"/>
      <c r="B102" s="35"/>
      <c r="C102" s="35"/>
      <c r="D102" s="35"/>
      <c r="E102" s="87"/>
      <c r="F102" s="35"/>
      <c r="G102" s="35"/>
      <c r="H102" s="58"/>
      <c r="I102" s="10"/>
      <c r="J102" s="10"/>
      <c r="K102" s="1"/>
      <c r="L102" s="1"/>
      <c r="AA102" s="9">
        <f ca="1">SUM(H25:H60)</f>
        <v>559.06934753299993</v>
      </c>
      <c r="AB102" s="21"/>
      <c r="AC102" s="21"/>
      <c r="AD102" s="21"/>
      <c r="AE102" s="21"/>
      <c r="AF102" s="21"/>
      <c r="AG102" s="21"/>
      <c r="AH102" s="21"/>
    </row>
    <row r="103" spans="1:34" ht="15.5" x14ac:dyDescent="0.35">
      <c r="A103" s="88"/>
      <c r="B103" s="89"/>
      <c r="C103" s="89"/>
      <c r="D103" s="89"/>
      <c r="E103" s="89"/>
      <c r="F103" s="89"/>
      <c r="G103" s="89"/>
      <c r="H103" s="90"/>
      <c r="I103" s="10"/>
      <c r="J103" s="10"/>
      <c r="K103" s="1"/>
      <c r="L103" s="1"/>
      <c r="AA103" s="2">
        <f ca="1">IF(K64=0,0,HLOOKUP(A2,INDIRECT(K22),9, FALSE)*INDIRECT(K64)*0.01)</f>
        <v>0</v>
      </c>
      <c r="AB103" s="21"/>
      <c r="AC103" s="21"/>
      <c r="AD103" s="21"/>
      <c r="AE103" s="21"/>
      <c r="AF103" s="21"/>
      <c r="AG103" s="21"/>
      <c r="AH103" s="21"/>
    </row>
    <row r="104" spans="1:34" ht="15.5" x14ac:dyDescent="0.35">
      <c r="A104" s="91"/>
      <c r="B104" s="92"/>
      <c r="C104" s="92"/>
      <c r="D104" s="93" t="s">
        <v>126</v>
      </c>
      <c r="E104" s="92"/>
      <c r="F104" s="92"/>
      <c r="G104" s="92"/>
      <c r="H104" s="94"/>
      <c r="I104" s="10"/>
      <c r="J104" s="10"/>
      <c r="K104" s="1"/>
      <c r="L104" s="1"/>
      <c r="AA104" s="2">
        <f ca="1">H65/D4</f>
        <v>58.65</v>
      </c>
      <c r="AB104" s="21"/>
      <c r="AC104" s="21"/>
      <c r="AD104" s="21"/>
      <c r="AE104" s="21"/>
      <c r="AF104" s="21"/>
      <c r="AG104" s="21"/>
      <c r="AH104" s="21"/>
    </row>
    <row r="105" spans="1:34" ht="15.5" x14ac:dyDescent="0.35">
      <c r="A105" s="95"/>
      <c r="B105" s="92"/>
      <c r="C105" s="92"/>
      <c r="D105" s="92"/>
      <c r="E105" s="92"/>
      <c r="F105" s="92"/>
      <c r="G105" s="92"/>
      <c r="H105" s="94"/>
      <c r="I105" s="10"/>
      <c r="J105" s="10"/>
      <c r="K105" s="1"/>
      <c r="L105" s="1"/>
      <c r="AA105" s="2">
        <f ca="1">IF(E65=0,D65*D4,IF(INDIRECT(K64)&gt;0,E65,D65*D4))</f>
        <v>58.65</v>
      </c>
      <c r="AB105" s="21"/>
      <c r="AC105" s="21"/>
      <c r="AD105" s="21"/>
      <c r="AE105" s="21"/>
      <c r="AF105" s="21"/>
      <c r="AG105" s="21"/>
      <c r="AH105" s="21"/>
    </row>
    <row r="106" spans="1:34" ht="15.5" x14ac:dyDescent="0.35">
      <c r="A106" s="96"/>
      <c r="B106" s="92"/>
      <c r="C106" s="92"/>
      <c r="D106" s="96" t="s">
        <v>127</v>
      </c>
      <c r="E106" s="97"/>
      <c r="F106" s="97"/>
      <c r="G106" s="92"/>
      <c r="H106" s="94"/>
      <c r="I106" s="10"/>
      <c r="J106" s="10"/>
      <c r="K106" s="1"/>
      <c r="L106" s="1"/>
      <c r="AA106" s="2">
        <f ca="1">IF(K65=0,0,HLOOKUP(A2,INDIRECT(K22),10, FALSE)*INDIRECT(K65)*0.01)</f>
        <v>0</v>
      </c>
      <c r="AB106" s="21"/>
      <c r="AC106" s="21"/>
      <c r="AD106" s="21"/>
      <c r="AE106" s="21"/>
      <c r="AF106" s="21"/>
      <c r="AG106" s="21"/>
      <c r="AH106" s="21"/>
    </row>
    <row r="107" spans="1:34" ht="15.5" x14ac:dyDescent="0.35">
      <c r="A107" s="98"/>
      <c r="B107" s="92"/>
      <c r="C107" s="92"/>
      <c r="D107" s="96" t="s">
        <v>139</v>
      </c>
      <c r="E107" s="97"/>
      <c r="F107" s="97"/>
      <c r="G107" s="92"/>
      <c r="H107" s="94"/>
      <c r="I107" s="10"/>
      <c r="J107" s="10"/>
      <c r="K107" s="1"/>
      <c r="L107" s="1"/>
      <c r="AA107" s="2">
        <f ca="1">H66/D4</f>
        <v>21</v>
      </c>
      <c r="AB107" s="21"/>
      <c r="AC107" s="21"/>
      <c r="AD107" s="21"/>
      <c r="AE107" s="21"/>
      <c r="AF107" s="21"/>
      <c r="AG107" s="21"/>
      <c r="AH107" s="21"/>
    </row>
    <row r="108" spans="1:34" ht="15.5" x14ac:dyDescent="0.35">
      <c r="A108" s="95"/>
      <c r="B108" s="92"/>
      <c r="C108" s="92"/>
      <c r="D108" s="99" t="s">
        <v>140</v>
      </c>
      <c r="E108" s="97"/>
      <c r="F108" s="97"/>
      <c r="G108" s="92"/>
      <c r="H108" s="94"/>
      <c r="I108" s="10"/>
      <c r="J108" s="10"/>
      <c r="K108" s="1"/>
      <c r="L108" s="1"/>
      <c r="AA108" s="2">
        <f ca="1">IF(E66=0,D66*D4,IF(INDIRECT(K65)&gt;0,E66,D66*D4))</f>
        <v>21</v>
      </c>
      <c r="AB108" s="21"/>
      <c r="AC108" s="21"/>
      <c r="AD108" s="21"/>
      <c r="AE108" s="21"/>
      <c r="AF108" s="21"/>
      <c r="AG108" s="21"/>
      <c r="AH108" s="21"/>
    </row>
    <row r="109" spans="1:34" ht="15.5" x14ac:dyDescent="0.35">
      <c r="A109" s="95"/>
      <c r="B109" s="92"/>
      <c r="C109" s="92"/>
      <c r="D109" s="106" t="s">
        <v>128</v>
      </c>
      <c r="E109" s="97"/>
      <c r="F109" s="97"/>
      <c r="G109" s="92"/>
      <c r="H109" s="94"/>
      <c r="I109" s="10"/>
      <c r="J109" s="10"/>
      <c r="K109" s="1"/>
      <c r="L109" s="1"/>
      <c r="AA109" s="2">
        <f>H67/D4</f>
        <v>0</v>
      </c>
      <c r="AB109" s="21"/>
      <c r="AC109" s="21"/>
      <c r="AD109" s="21"/>
      <c r="AE109" s="21"/>
      <c r="AF109" s="21"/>
      <c r="AG109" s="21"/>
      <c r="AH109" s="21"/>
    </row>
    <row r="110" spans="1:34" ht="15.5" x14ac:dyDescent="0.35">
      <c r="A110" s="100"/>
      <c r="B110" s="101"/>
      <c r="C110" s="101"/>
      <c r="D110" s="105"/>
      <c r="E110" s="102"/>
      <c r="F110" s="102"/>
      <c r="G110" s="103"/>
      <c r="H110" s="104"/>
      <c r="I110" s="10"/>
      <c r="J110" s="10"/>
      <c r="K110" s="1"/>
      <c r="L110" s="1"/>
      <c r="AA110" s="2">
        <f>D67*D4</f>
        <v>0</v>
      </c>
    </row>
    <row r="111" spans="1:34" x14ac:dyDescent="0.25">
      <c r="A111" s="16"/>
      <c r="B111" s="16"/>
      <c r="C111" s="17"/>
      <c r="D111" s="16"/>
      <c r="E111" s="16"/>
      <c r="F111" s="15"/>
      <c r="G111" s="17"/>
      <c r="H111" s="16"/>
      <c r="I111" s="10"/>
      <c r="J111" s="10"/>
      <c r="K111" s="4"/>
      <c r="L111" s="1"/>
      <c r="AA111" s="2">
        <f ca="1">IF(K66=0,0,HLOOKUP(A2,INDIRECT(K22),11, FALSE)*INDIRECT(K66)*0.01)</f>
        <v>0</v>
      </c>
    </row>
    <row r="112" spans="1:34" x14ac:dyDescent="0.25">
      <c r="A112" s="16"/>
      <c r="B112" s="16"/>
      <c r="C112" s="16"/>
      <c r="D112" s="16"/>
      <c r="E112" s="16"/>
      <c r="F112" s="16"/>
      <c r="G112" s="16"/>
      <c r="H112" s="16"/>
      <c r="I112" s="10"/>
      <c r="J112" s="10"/>
      <c r="K112" s="4"/>
      <c r="L112" s="1"/>
      <c r="AA112" s="2">
        <f ca="1">H68/D4</f>
        <v>0</v>
      </c>
    </row>
    <row r="113" spans="1:27" x14ac:dyDescent="0.25">
      <c r="A113" s="16"/>
      <c r="B113" s="16"/>
      <c r="C113" s="16"/>
      <c r="D113" s="16"/>
      <c r="E113" s="16"/>
      <c r="F113" s="16"/>
      <c r="G113" s="16"/>
      <c r="H113" s="16"/>
      <c r="I113" s="10"/>
      <c r="J113" s="10"/>
      <c r="K113" s="4"/>
      <c r="L113" s="1"/>
      <c r="AA113" s="2">
        <f ca="1">IF(E68=0,D68*D4,IF(INDIRECT(K66)&gt;0,E68,D68*D4))</f>
        <v>0</v>
      </c>
    </row>
    <row r="114" spans="1:27" x14ac:dyDescent="0.25">
      <c r="A114" s="16"/>
      <c r="B114" s="16"/>
      <c r="C114" s="16"/>
      <c r="D114" s="16"/>
      <c r="E114" s="16"/>
      <c r="F114" s="16"/>
      <c r="G114" s="16"/>
      <c r="H114" s="16"/>
      <c r="I114" s="1"/>
      <c r="J114" s="1"/>
      <c r="K114" s="1"/>
      <c r="L114" s="1"/>
      <c r="AA114" s="2">
        <f ca="1">IF(K67=0,0,HLOOKUP(A2,INDIRECT(K22),12, FALSE)*INDIRECT(K67)*0.01)</f>
        <v>0</v>
      </c>
    </row>
    <row r="115" spans="1:27" x14ac:dyDescent="0.25">
      <c r="A115" s="16"/>
      <c r="B115" s="15"/>
      <c r="C115" s="16"/>
      <c r="D115" s="16"/>
      <c r="E115" s="17"/>
      <c r="F115" s="17"/>
      <c r="G115" s="17"/>
      <c r="H115" s="17"/>
      <c r="I115" s="10"/>
      <c r="J115" s="1"/>
      <c r="K115" s="4"/>
      <c r="L115" s="1"/>
      <c r="AA115" s="2">
        <f ca="1">H69/D4</f>
        <v>13.6</v>
      </c>
    </row>
    <row r="116" spans="1:27" x14ac:dyDescent="0.25">
      <c r="A116" s="15"/>
      <c r="B116" s="15"/>
      <c r="C116" s="15"/>
      <c r="D116" s="15"/>
      <c r="E116" s="15"/>
      <c r="F116" s="15"/>
      <c r="G116" s="15"/>
      <c r="H116" s="15"/>
      <c r="I116" s="10"/>
      <c r="J116" s="10"/>
      <c r="K116" s="4"/>
      <c r="L116" s="1"/>
      <c r="AA116" s="2">
        <f ca="1">IF(E69=0,D69*D4,IF(INDIRECT(K67)&gt;0,E69,D69*D4))</f>
        <v>13.6</v>
      </c>
    </row>
    <row r="117" spans="1:27" x14ac:dyDescent="0.25">
      <c r="A117" s="16"/>
      <c r="B117" s="16"/>
      <c r="C117" s="15"/>
      <c r="D117" s="16"/>
      <c r="E117" s="17"/>
      <c r="F117" s="17"/>
      <c r="G117" s="17"/>
      <c r="H117" s="16"/>
      <c r="I117" s="1"/>
      <c r="J117" s="1"/>
      <c r="K117" s="4"/>
      <c r="L117" s="1"/>
      <c r="AA117" s="2">
        <f ca="1">H71/D4</f>
        <v>93.25</v>
      </c>
    </row>
    <row r="118" spans="1:27" x14ac:dyDescent="0.25">
      <c r="A118" s="16"/>
      <c r="B118" s="15"/>
      <c r="C118" s="17"/>
      <c r="D118" s="16"/>
      <c r="E118" s="17"/>
      <c r="F118" s="17"/>
      <c r="G118" s="17"/>
      <c r="H118" s="17"/>
      <c r="I118" s="1"/>
      <c r="J118" s="1"/>
      <c r="K118" s="4"/>
      <c r="L118" s="1"/>
      <c r="AA118" s="3">
        <f ca="1">SUM(H65:H69)</f>
        <v>93.25</v>
      </c>
    </row>
    <row r="119" spans="1:27" x14ac:dyDescent="0.25">
      <c r="A119" s="16"/>
      <c r="B119" s="15"/>
      <c r="C119" s="15"/>
      <c r="D119" s="16"/>
      <c r="E119" s="15"/>
      <c r="F119" s="15"/>
      <c r="G119" s="16"/>
      <c r="H119" s="16"/>
      <c r="I119" s="1"/>
      <c r="J119" s="4"/>
      <c r="K119" s="4"/>
      <c r="L119" s="1"/>
      <c r="AA119" s="2">
        <f>E8*E9</f>
        <v>643.75</v>
      </c>
    </row>
    <row r="120" spans="1:27" x14ac:dyDescent="0.25">
      <c r="A120" s="16"/>
      <c r="B120" s="16"/>
      <c r="C120" s="16"/>
      <c r="D120" s="16"/>
      <c r="E120" s="17"/>
      <c r="F120" s="17"/>
      <c r="G120" s="17"/>
      <c r="H120" s="17"/>
      <c r="I120" s="10"/>
      <c r="J120" s="10"/>
      <c r="K120" s="10"/>
      <c r="L120" s="1"/>
      <c r="AA120" s="2">
        <f>E74*D4</f>
        <v>643.75</v>
      </c>
    </row>
    <row r="121" spans="1:27" x14ac:dyDescent="0.25">
      <c r="A121" s="16"/>
      <c r="B121" s="15"/>
      <c r="C121" s="16"/>
      <c r="D121" s="16"/>
      <c r="E121" s="17"/>
      <c r="F121" s="15"/>
      <c r="G121" s="17"/>
      <c r="H121" s="17"/>
      <c r="I121" s="10"/>
      <c r="J121" s="10"/>
      <c r="K121" s="10"/>
      <c r="L121" s="1"/>
      <c r="AA121" s="2">
        <f>IF(E39=1,H18,0)+IF(E40=1,D18,0)</f>
        <v>22.756182724671685</v>
      </c>
    </row>
    <row r="122" spans="1:27" x14ac:dyDescent="0.25">
      <c r="A122" s="16"/>
      <c r="B122" s="15"/>
      <c r="C122" s="15"/>
      <c r="D122" s="16"/>
      <c r="E122" s="17"/>
      <c r="F122" s="15"/>
      <c r="G122" s="17"/>
      <c r="H122" s="17"/>
      <c r="I122" s="10"/>
      <c r="J122" s="10"/>
      <c r="K122" s="10"/>
      <c r="L122" s="1"/>
      <c r="AA122" s="2">
        <f>E75*D4</f>
        <v>0</v>
      </c>
    </row>
    <row r="123" spans="1:27" x14ac:dyDescent="0.25">
      <c r="A123" s="16"/>
      <c r="B123" s="15"/>
      <c r="C123" s="15"/>
      <c r="D123" s="16"/>
      <c r="E123" s="17"/>
      <c r="F123" s="16"/>
      <c r="G123" s="16"/>
      <c r="H123" s="17"/>
      <c r="I123" s="1"/>
      <c r="J123" s="1"/>
      <c r="K123" s="1"/>
      <c r="L123" s="1"/>
      <c r="AA123" s="2">
        <f ca="1">F76/D4</f>
        <v>559.06934753299993</v>
      </c>
    </row>
    <row r="124" spans="1:27" x14ac:dyDescent="0.25">
      <c r="A124" s="16"/>
      <c r="B124" s="15"/>
      <c r="C124" s="15"/>
      <c r="D124" s="16"/>
      <c r="E124" s="17"/>
      <c r="F124" s="16"/>
      <c r="G124" s="16"/>
      <c r="H124" s="15"/>
      <c r="I124" s="10"/>
      <c r="J124" s="1"/>
      <c r="K124" s="1"/>
      <c r="L124" s="1"/>
      <c r="AA124" s="3">
        <f ca="1">H62</f>
        <v>559.06934753299993</v>
      </c>
    </row>
    <row r="125" spans="1:27" x14ac:dyDescent="0.25">
      <c r="A125" s="16"/>
      <c r="B125" s="15"/>
      <c r="C125" s="15"/>
      <c r="D125" s="16"/>
      <c r="E125" s="17"/>
      <c r="F125" s="15"/>
      <c r="G125" s="15"/>
      <c r="H125" s="17"/>
      <c r="I125" s="10"/>
      <c r="J125" s="1"/>
      <c r="K125" s="4"/>
      <c r="L125" s="1"/>
      <c r="AA125" s="2">
        <f ca="1">F78/D4</f>
        <v>84.680652467000073</v>
      </c>
    </row>
    <row r="126" spans="1:27" x14ac:dyDescent="0.25">
      <c r="A126" s="16"/>
      <c r="B126" s="15"/>
      <c r="C126" s="15"/>
      <c r="D126" s="16"/>
      <c r="E126" s="16"/>
      <c r="F126" s="18"/>
      <c r="G126" s="18"/>
      <c r="H126" s="15"/>
      <c r="I126" s="10"/>
      <c r="J126" s="1"/>
      <c r="K126" s="4"/>
      <c r="L126" s="1"/>
      <c r="AA126" s="3">
        <f ca="1">SUM(F74:F75)-F76</f>
        <v>84.680652467000073</v>
      </c>
    </row>
    <row r="127" spans="1:27" x14ac:dyDescent="0.25">
      <c r="A127" s="15"/>
      <c r="B127" s="15"/>
      <c r="C127" s="15"/>
      <c r="D127" s="16"/>
      <c r="E127" s="15"/>
      <c r="F127" s="18"/>
      <c r="G127" s="18"/>
      <c r="H127" s="15"/>
      <c r="I127" s="10"/>
      <c r="J127" s="1"/>
      <c r="K127" s="4"/>
      <c r="L127" s="1"/>
      <c r="AA127" s="2">
        <f ca="1">F79/D4</f>
        <v>93.25</v>
      </c>
    </row>
    <row r="128" spans="1:27" x14ac:dyDescent="0.25">
      <c r="A128" s="16"/>
      <c r="B128" s="15"/>
      <c r="C128" s="15"/>
      <c r="D128" s="16"/>
      <c r="E128" s="17"/>
      <c r="F128" s="15"/>
      <c r="G128" s="17"/>
      <c r="H128" s="17"/>
      <c r="I128" s="10"/>
      <c r="J128" s="1"/>
      <c r="K128" s="4"/>
      <c r="L128" s="1"/>
      <c r="AA128" s="3">
        <f ca="1">H71</f>
        <v>93.25</v>
      </c>
    </row>
    <row r="129" spans="1:27" x14ac:dyDescent="0.25">
      <c r="A129" s="15"/>
      <c r="B129" s="15"/>
      <c r="C129" s="15"/>
      <c r="D129" s="15"/>
      <c r="E129" s="15"/>
      <c r="F129" s="15"/>
      <c r="G129" s="15"/>
      <c r="H129" s="15"/>
      <c r="I129" s="10"/>
      <c r="J129" s="10"/>
      <c r="K129" s="10"/>
      <c r="L129" s="1"/>
      <c r="AA129" s="2">
        <f ca="1">F81/D4</f>
        <v>-8.5693475329999274</v>
      </c>
    </row>
    <row r="130" spans="1:27" x14ac:dyDescent="0.25">
      <c r="A130" s="16"/>
      <c r="B130" s="15"/>
      <c r="C130" s="15"/>
      <c r="D130" s="16"/>
      <c r="E130" s="17"/>
      <c r="F130" s="17"/>
      <c r="G130" s="17"/>
      <c r="H130" s="17"/>
      <c r="I130" s="10"/>
      <c r="J130" s="10"/>
      <c r="K130" s="10"/>
      <c r="L130" s="1"/>
      <c r="AA130" s="3">
        <f ca="1">F78-F79</f>
        <v>-8.5693475329999274</v>
      </c>
    </row>
    <row r="131" spans="1:27" x14ac:dyDescent="0.25">
      <c r="A131" s="16"/>
      <c r="B131" s="16"/>
      <c r="C131" s="15"/>
      <c r="D131" s="15"/>
      <c r="E131" s="17"/>
      <c r="F131" s="17"/>
      <c r="G131" s="20"/>
      <c r="H131" s="19"/>
      <c r="I131" s="1"/>
      <c r="J131" s="1"/>
      <c r="K131" s="4"/>
      <c r="L131" s="1"/>
      <c r="AA131" s="2">
        <f ca="1">E76/E8</f>
        <v>542.78577430388339</v>
      </c>
    </row>
    <row r="132" spans="1:27" x14ac:dyDescent="0.25">
      <c r="A132" s="16"/>
      <c r="B132" s="16"/>
      <c r="C132" s="15"/>
      <c r="D132" s="16"/>
      <c r="E132" s="16"/>
      <c r="F132" s="17"/>
      <c r="G132" s="20"/>
      <c r="H132" s="19"/>
      <c r="I132" s="10"/>
      <c r="J132" s="10"/>
      <c r="K132" s="10"/>
      <c r="L132" s="1"/>
      <c r="AA132" s="2">
        <f ca="1">E79/E8</f>
        <v>90.533980582524265</v>
      </c>
    </row>
    <row r="133" spans="1:27" x14ac:dyDescent="0.25">
      <c r="A133" s="16"/>
      <c r="B133" s="16"/>
      <c r="C133" s="15"/>
      <c r="D133" s="15"/>
      <c r="E133" s="15"/>
      <c r="F133" s="15"/>
      <c r="G133" s="18"/>
      <c r="H133" s="19"/>
      <c r="I133" s="10"/>
      <c r="J133" s="10"/>
      <c r="K133" s="10"/>
      <c r="L133" s="1"/>
      <c r="AA133" s="11">
        <f ca="1">G83+G84</f>
        <v>633.31975488640762</v>
      </c>
    </row>
    <row r="134" spans="1:27" x14ac:dyDescent="0.25">
      <c r="A134" s="16"/>
      <c r="B134" s="15"/>
      <c r="C134" s="15"/>
      <c r="D134" s="15"/>
      <c r="E134" s="17"/>
      <c r="F134" s="17"/>
      <c r="G134" s="15"/>
      <c r="H134" s="19"/>
      <c r="I134" s="10"/>
      <c r="J134" s="10"/>
      <c r="K134" s="10"/>
      <c r="L134" s="1"/>
      <c r="AA134" s="2">
        <f ca="1">IF(I90&gt;0,1-I98,I98)</f>
        <v>0.4904029288175103</v>
      </c>
    </row>
    <row r="135" spans="1:27" x14ac:dyDescent="0.25">
      <c r="A135" s="16"/>
      <c r="B135" s="15"/>
      <c r="C135" s="16"/>
      <c r="D135" s="15"/>
      <c r="E135" s="16"/>
      <c r="F135" s="17"/>
      <c r="G135" s="15"/>
      <c r="H135" s="19"/>
      <c r="I135" s="10"/>
      <c r="J135" s="10"/>
      <c r="K135" s="10"/>
      <c r="L135" s="1"/>
      <c r="AA135" s="2">
        <f ca="1">IF(I90-D89&gt;0,1-J98,J98)</f>
        <v>0.4904029288175103</v>
      </c>
    </row>
    <row r="136" spans="1:27" x14ac:dyDescent="0.25">
      <c r="A136" s="16"/>
      <c r="B136" s="15"/>
      <c r="C136" s="16"/>
      <c r="D136" s="15"/>
      <c r="E136" s="16"/>
      <c r="F136" s="15"/>
      <c r="G136" s="15"/>
      <c r="H136" s="19"/>
      <c r="I136" s="10"/>
      <c r="J136" s="10"/>
      <c r="K136" s="10"/>
      <c r="L136" s="1"/>
      <c r="AA136" s="2">
        <f>I93/E74</f>
        <v>0.55330175407368909</v>
      </c>
    </row>
    <row r="137" spans="1:27" x14ac:dyDescent="0.25">
      <c r="A137" s="16"/>
      <c r="B137" s="15"/>
      <c r="C137" s="15"/>
      <c r="D137" s="15"/>
      <c r="E137" s="17"/>
      <c r="F137" s="17"/>
      <c r="G137" s="15"/>
      <c r="H137" s="19"/>
      <c r="I137" s="1"/>
      <c r="J137" s="1"/>
      <c r="K137" s="1"/>
      <c r="L137" s="1"/>
      <c r="AA137" s="3">
        <f ca="1">E81</f>
        <v>-8.5693475329999274</v>
      </c>
    </row>
    <row r="138" spans="1:27" x14ac:dyDescent="0.25">
      <c r="A138" s="16"/>
      <c r="B138" s="15"/>
      <c r="C138" s="17"/>
      <c r="D138" s="15"/>
      <c r="E138" s="16"/>
      <c r="F138" s="17"/>
      <c r="G138" s="15"/>
      <c r="H138" s="19"/>
      <c r="I138" s="1"/>
      <c r="J138" s="1"/>
      <c r="K138" s="1"/>
      <c r="L138" s="1"/>
      <c r="AA138" s="2">
        <f>IF(E39=1,0.19465*E8+0.66805*((C8-G8)/2)-0.20342*H15,(C8-G8)/2)</f>
        <v>0.17789375000000002</v>
      </c>
    </row>
    <row r="139" spans="1:27" x14ac:dyDescent="0.25">
      <c r="A139" s="16"/>
      <c r="B139" s="15"/>
      <c r="C139" s="17"/>
      <c r="D139" s="15"/>
      <c r="E139" s="16"/>
      <c r="F139" s="17"/>
      <c r="G139" s="18"/>
      <c r="H139" s="19"/>
      <c r="I139" s="1"/>
      <c r="J139" s="1"/>
      <c r="K139" s="1"/>
      <c r="L139" s="1"/>
      <c r="AA139" s="2">
        <f>IF(E40=1,0.19465*E9+0.66805*((C9-G9)/2)-0.20342*D16,(C9-G9)/2)</f>
        <v>323.74137500000001</v>
      </c>
    </row>
    <row r="140" spans="1:27" x14ac:dyDescent="0.25">
      <c r="A140" s="16"/>
      <c r="B140" s="15"/>
      <c r="C140" s="17"/>
      <c r="D140" s="15"/>
      <c r="E140" s="16"/>
      <c r="F140" s="15"/>
      <c r="G140" s="18"/>
      <c r="H140" s="19"/>
      <c r="I140" s="1"/>
      <c r="J140" s="1"/>
      <c r="K140" s="1"/>
      <c r="L140" s="1"/>
      <c r="AA140" s="2">
        <f>SQRT((E8*I92)^2+(E9*I91)^2+(I91*I92)^2)</f>
        <v>356.18800418493737</v>
      </c>
    </row>
    <row r="141" spans="1:27" x14ac:dyDescent="0.25">
      <c r="A141" s="16"/>
      <c r="B141" s="15"/>
      <c r="C141" s="17"/>
      <c r="D141" s="15"/>
      <c r="E141" s="16"/>
      <c r="F141" s="15"/>
      <c r="G141" s="15"/>
      <c r="H141" s="19"/>
      <c r="I141" s="1"/>
      <c r="J141" s="1"/>
      <c r="K141" s="1"/>
      <c r="L141" s="1"/>
      <c r="AA141" s="2">
        <f ca="1">I90+0.97*I93</f>
        <v>336.93301652638934</v>
      </c>
    </row>
    <row r="142" spans="1:27" x14ac:dyDescent="0.25">
      <c r="A142" s="15"/>
      <c r="B142" s="15"/>
      <c r="C142" s="17"/>
      <c r="D142" s="15"/>
      <c r="E142" s="16"/>
      <c r="F142" s="15"/>
      <c r="G142" s="18"/>
      <c r="H142" s="15"/>
      <c r="I142" s="1"/>
      <c r="J142" s="1"/>
      <c r="K142" s="1"/>
      <c r="L142" s="1"/>
      <c r="AA142" s="2">
        <f ca="1">I90+0.43*I93</f>
        <v>144.59149426652314</v>
      </c>
    </row>
    <row r="143" spans="1:27" x14ac:dyDescent="0.25">
      <c r="A143" s="16"/>
      <c r="B143" s="16"/>
      <c r="C143" s="16"/>
      <c r="D143" s="16"/>
      <c r="E143" s="16"/>
      <c r="F143" s="16"/>
      <c r="G143" s="16"/>
      <c r="H143" s="16"/>
      <c r="I143" s="1"/>
      <c r="J143" s="1"/>
      <c r="K143" s="1"/>
      <c r="L143" s="1"/>
      <c r="AA143" s="2">
        <f ca="1">ABS(I90/I93)</f>
        <v>2.4058495604334311E-2</v>
      </c>
    </row>
    <row r="144" spans="1:27" x14ac:dyDescent="0.25">
      <c r="A144" s="15"/>
      <c r="B144" s="16"/>
      <c r="C144" s="15"/>
      <c r="D144" s="15"/>
      <c r="E144" s="15"/>
      <c r="F144" s="15"/>
      <c r="G144" s="20"/>
      <c r="H144" s="19"/>
      <c r="I144" s="1"/>
      <c r="J144" s="1"/>
      <c r="K144" s="1"/>
      <c r="L144" s="1"/>
      <c r="AA144" s="2">
        <f ca="1">ABS((I90-D89)/I93)</f>
        <v>2.4058495604334311E-2</v>
      </c>
    </row>
    <row r="145" spans="1:27" x14ac:dyDescent="0.25">
      <c r="A145" s="15"/>
      <c r="B145" s="16"/>
      <c r="C145" s="15"/>
      <c r="D145" s="16"/>
      <c r="E145" s="16"/>
      <c r="F145" s="16"/>
      <c r="G145" s="16"/>
      <c r="H145" s="19"/>
      <c r="I145" s="10"/>
      <c r="J145" s="1"/>
      <c r="K145" s="1"/>
      <c r="L145" s="1"/>
      <c r="AA145" s="13">
        <f ca="1">I90</f>
        <v>-8.5693475329999274</v>
      </c>
    </row>
    <row r="146" spans="1:27" x14ac:dyDescent="0.25">
      <c r="A146" s="15"/>
      <c r="B146" s="16"/>
      <c r="C146" s="15"/>
      <c r="D146" s="16"/>
      <c r="E146" s="16"/>
      <c r="F146" s="17"/>
      <c r="G146" s="16"/>
      <c r="H146" s="19"/>
      <c r="I146" s="10"/>
      <c r="J146" s="1"/>
      <c r="K146" s="1"/>
      <c r="L146" s="1"/>
      <c r="AA146" s="2">
        <f ca="1">1/(1+(0.2316419*I95))</f>
        <v>0.99445793007686667</v>
      </c>
    </row>
    <row r="147" spans="1:27" x14ac:dyDescent="0.25">
      <c r="A147" s="15"/>
      <c r="B147" s="16"/>
      <c r="C147" s="15"/>
      <c r="D147" s="15"/>
      <c r="E147" s="15"/>
      <c r="F147" s="17"/>
      <c r="G147" s="16"/>
      <c r="H147" s="19"/>
      <c r="I147" s="10"/>
      <c r="J147" s="1"/>
      <c r="K147" s="1"/>
      <c r="L147" s="1"/>
      <c r="AA147" s="2">
        <f ca="1">1/(1+(0.2316419*J95))</f>
        <v>0.99445793007686667</v>
      </c>
    </row>
    <row r="148" spans="1:27" x14ac:dyDescent="0.25">
      <c r="A148" s="15"/>
      <c r="B148" s="15"/>
      <c r="C148" s="16"/>
      <c r="D148" s="15"/>
      <c r="E148" s="16"/>
      <c r="F148" s="20"/>
      <c r="G148" s="15"/>
      <c r="H148" s="19"/>
      <c r="I148" s="10"/>
      <c r="J148" s="1"/>
      <c r="K148" s="1"/>
      <c r="L148" s="1"/>
      <c r="AA148" s="2">
        <f ca="1">I90-0.43*I93</f>
        <v>-161.730189332523</v>
      </c>
    </row>
    <row r="149" spans="1:27" x14ac:dyDescent="0.25">
      <c r="A149" s="15"/>
      <c r="B149" s="16"/>
      <c r="C149" s="16"/>
      <c r="D149" s="16"/>
      <c r="E149" s="16"/>
      <c r="F149" s="18"/>
      <c r="G149" s="15"/>
      <c r="H149" s="19"/>
      <c r="I149" s="10"/>
      <c r="J149" s="1"/>
      <c r="K149" s="1"/>
      <c r="L149" s="1"/>
      <c r="AA149" s="2">
        <f ca="1">0.398942281*EXP(I95^2/-2)</f>
        <v>0.39882684157287313</v>
      </c>
    </row>
    <row r="150" spans="1:27" x14ac:dyDescent="0.25">
      <c r="A150" s="16"/>
      <c r="B150" s="16"/>
      <c r="C150" s="16"/>
      <c r="D150" s="16"/>
      <c r="E150" s="16"/>
      <c r="F150" s="16"/>
      <c r="G150" s="16"/>
      <c r="H150" s="16"/>
      <c r="I150" s="10"/>
      <c r="J150" s="10"/>
      <c r="K150" s="1"/>
      <c r="L150" s="1"/>
      <c r="AA150" s="2">
        <f ca="1">0.398942281*EXP(J95^2/-2)</f>
        <v>0.39882684157287313</v>
      </c>
    </row>
    <row r="151" spans="1:27" x14ac:dyDescent="0.25">
      <c r="A151" s="15"/>
      <c r="B151" s="15"/>
      <c r="C151" s="17"/>
      <c r="D151" s="15"/>
      <c r="E151" s="16"/>
      <c r="F151" s="15"/>
      <c r="G151" s="19"/>
      <c r="H151" s="19"/>
      <c r="I151" s="10"/>
      <c r="J151" s="10"/>
      <c r="K151" s="1"/>
      <c r="L151" s="1"/>
      <c r="AA151" s="2">
        <f ca="1">I90-0.97*I93</f>
        <v>-354.07171159238919</v>
      </c>
    </row>
    <row r="152" spans="1:27" x14ac:dyDescent="0.25">
      <c r="A152" s="15"/>
      <c r="B152" s="15"/>
      <c r="C152" s="17"/>
      <c r="D152" s="15"/>
      <c r="E152" s="16"/>
      <c r="F152" s="15"/>
      <c r="G152" s="19"/>
      <c r="H152" s="19"/>
      <c r="I152" s="10"/>
      <c r="J152" s="10"/>
      <c r="K152" s="1"/>
      <c r="L152" s="1"/>
      <c r="AA152" s="2">
        <f ca="1">I97*(0.31938153*I96-0.356563782*I96^2+1.781477937*I96^3-1.821255978*I96^4+1.330274429*I96^5)</f>
        <v>0.4904029288175103</v>
      </c>
    </row>
    <row r="153" spans="1:27" x14ac:dyDescent="0.25">
      <c r="A153" s="15"/>
      <c r="B153" s="15"/>
      <c r="C153" s="17"/>
      <c r="D153" s="15"/>
      <c r="E153" s="16"/>
      <c r="F153" s="15"/>
      <c r="G153" s="19"/>
      <c r="H153" s="19"/>
      <c r="I153" s="10"/>
      <c r="J153" s="10"/>
      <c r="K153" s="1"/>
      <c r="L153" s="1"/>
      <c r="AA153" s="2">
        <f ca="1">J97*(0.31938153*J96-0.356563782*J96^2+1.781477937*J96^3-1.821255978*J96^4+1.330274429*J96^5)</f>
        <v>0.4904029288175103</v>
      </c>
    </row>
    <row r="154" spans="1:27" x14ac:dyDescent="0.25">
      <c r="A154" s="15"/>
      <c r="B154" s="17"/>
      <c r="C154" s="17"/>
      <c r="D154" s="15"/>
      <c r="E154" s="16"/>
      <c r="F154" s="15"/>
      <c r="G154" s="15"/>
      <c r="H154" s="19"/>
      <c r="I154" s="10"/>
      <c r="J154" s="10"/>
      <c r="K154" s="1"/>
      <c r="L154" s="1"/>
    </row>
    <row r="155" spans="1:27" x14ac:dyDescent="0.25">
      <c r="A155" s="15"/>
      <c r="B155" s="17"/>
      <c r="C155" s="17"/>
      <c r="D155" s="15"/>
      <c r="E155" s="16"/>
      <c r="F155" s="15"/>
      <c r="G155" s="19"/>
      <c r="H155" s="19"/>
      <c r="I155" s="10"/>
      <c r="J155" s="1"/>
      <c r="K155" s="1"/>
      <c r="L155" s="1"/>
    </row>
    <row r="156" spans="1:27" x14ac:dyDescent="0.25">
      <c r="A156" s="15"/>
      <c r="B156" s="17"/>
      <c r="C156" s="17"/>
      <c r="D156" s="15"/>
      <c r="E156" s="16"/>
      <c r="F156" s="15"/>
      <c r="G156" s="19"/>
      <c r="H156" s="19"/>
      <c r="I156" s="10"/>
      <c r="J156" s="1"/>
      <c r="K156" s="1"/>
      <c r="L156" s="1"/>
    </row>
    <row r="157" spans="1:27" x14ac:dyDescent="0.25">
      <c r="A157" s="15"/>
      <c r="B157" s="16"/>
      <c r="C157" s="15"/>
      <c r="D157" s="15"/>
      <c r="E157" s="16"/>
      <c r="F157" s="15"/>
      <c r="G157" s="19"/>
      <c r="H157" s="19"/>
      <c r="I157" s="1"/>
      <c r="J157" s="1"/>
      <c r="K157" s="1"/>
      <c r="L157" s="1"/>
    </row>
    <row r="158" spans="1:27" x14ac:dyDescent="0.25">
      <c r="A158" s="15"/>
      <c r="B158" s="15"/>
      <c r="C158" s="15"/>
      <c r="D158" s="15"/>
      <c r="E158" s="15"/>
      <c r="F158" s="15"/>
      <c r="G158" s="15"/>
      <c r="H158" s="15"/>
      <c r="I158" s="1"/>
      <c r="J158" s="1"/>
      <c r="K158" s="1"/>
      <c r="L158" s="1"/>
    </row>
    <row r="159" spans="1:27" x14ac:dyDescent="0.25">
      <c r="A159" s="15"/>
      <c r="B159" s="15"/>
      <c r="C159" s="15"/>
      <c r="D159" s="15"/>
      <c r="E159" s="15"/>
      <c r="F159" s="15"/>
      <c r="G159" s="15"/>
      <c r="H159" s="15"/>
      <c r="I159" s="1"/>
      <c r="J159" s="1"/>
      <c r="K159" s="1"/>
      <c r="L159" s="1"/>
    </row>
    <row r="160" spans="1:27" x14ac:dyDescent="0.25">
      <c r="A160" s="15"/>
      <c r="B160" s="15"/>
      <c r="C160" s="15"/>
      <c r="D160" s="15"/>
      <c r="E160" s="15"/>
      <c r="F160" s="15"/>
      <c r="G160" s="15"/>
      <c r="H160" s="15"/>
      <c r="I160" s="1"/>
      <c r="J160" s="1"/>
      <c r="K160" s="1"/>
      <c r="L160" s="1"/>
    </row>
    <row r="161" spans="1:12" x14ac:dyDescent="0.25">
      <c r="A161" s="15"/>
      <c r="B161" s="15"/>
      <c r="C161" s="15"/>
      <c r="D161" s="15"/>
      <c r="E161" s="15"/>
      <c r="F161" s="15"/>
      <c r="G161" s="15"/>
      <c r="H161" s="15"/>
      <c r="I161" s="1"/>
      <c r="J161" s="1"/>
      <c r="K161" s="1"/>
      <c r="L161" s="1"/>
    </row>
    <row r="162" spans="1:12" x14ac:dyDescent="0.25">
      <c r="A162" s="15"/>
      <c r="B162" s="15"/>
      <c r="C162" s="15"/>
      <c r="D162" s="15"/>
      <c r="E162" s="15"/>
      <c r="F162" s="15"/>
      <c r="G162" s="15"/>
      <c r="H162" s="15"/>
      <c r="I162" s="1"/>
      <c r="J162" s="1"/>
      <c r="K162" s="1"/>
      <c r="L162" s="1"/>
    </row>
    <row r="163" spans="1:12" x14ac:dyDescent="0.25">
      <c r="A163" s="15"/>
      <c r="B163" s="15"/>
      <c r="C163" s="15"/>
      <c r="D163" s="15"/>
      <c r="E163" s="15"/>
      <c r="F163" s="15"/>
      <c r="G163" s="15"/>
      <c r="H163" s="15"/>
      <c r="I163" s="1"/>
      <c r="J163" s="1"/>
      <c r="K163" s="1"/>
      <c r="L163" s="1"/>
    </row>
    <row r="164" spans="1:12" x14ac:dyDescent="0.25">
      <c r="A164" s="15"/>
      <c r="B164" s="15"/>
      <c r="C164" s="15"/>
      <c r="D164" s="15"/>
      <c r="E164" s="15"/>
      <c r="F164" s="15"/>
      <c r="G164" s="15"/>
      <c r="H164" s="15"/>
      <c r="I164" s="1"/>
      <c r="J164" s="1"/>
      <c r="K164" s="1"/>
      <c r="L164" s="1"/>
    </row>
    <row r="165" spans="1:12" x14ac:dyDescent="0.25">
      <c r="A165" s="15"/>
      <c r="B165" s="15"/>
      <c r="C165" s="15"/>
      <c r="D165" s="15"/>
      <c r="E165" s="15"/>
      <c r="F165" s="15"/>
      <c r="G165" s="15"/>
      <c r="H165" s="15"/>
      <c r="I165" s="1"/>
      <c r="J165" s="1"/>
      <c r="K165" s="1"/>
      <c r="L165" s="1"/>
    </row>
    <row r="166" spans="1:12" x14ac:dyDescent="0.25">
      <c r="A166" s="15"/>
      <c r="B166" s="15"/>
      <c r="C166" s="15"/>
      <c r="D166" s="15"/>
      <c r="E166" s="15"/>
      <c r="F166" s="15"/>
      <c r="G166" s="15"/>
      <c r="H166" s="15"/>
      <c r="I166" s="1"/>
      <c r="J166" s="1"/>
      <c r="K166" s="1"/>
      <c r="L166" s="1"/>
    </row>
    <row r="167" spans="1:12" x14ac:dyDescent="0.25">
      <c r="A167" s="15"/>
      <c r="B167" s="15"/>
      <c r="C167" s="15"/>
      <c r="D167" s="15"/>
      <c r="E167" s="15"/>
      <c r="F167" s="15"/>
      <c r="G167" s="15"/>
      <c r="H167" s="15"/>
      <c r="I167" s="1"/>
      <c r="J167" s="1"/>
      <c r="K167" s="1"/>
      <c r="L167" s="1"/>
    </row>
    <row r="168" spans="1:12" x14ac:dyDescent="0.25">
      <c r="A168" s="15"/>
      <c r="B168" s="15"/>
      <c r="C168" s="15"/>
      <c r="D168" s="15"/>
      <c r="E168" s="15"/>
      <c r="F168" s="15"/>
      <c r="G168" s="15"/>
      <c r="H168" s="15"/>
      <c r="I168" s="1"/>
      <c r="J168" s="1"/>
      <c r="K168" s="1"/>
      <c r="L168" s="1"/>
    </row>
    <row r="169" spans="1:12" x14ac:dyDescent="0.25">
      <c r="A169" s="15"/>
      <c r="B169" s="15"/>
      <c r="C169" s="15"/>
      <c r="D169" s="15"/>
      <c r="E169" s="15"/>
      <c r="F169" s="15"/>
      <c r="G169" s="15"/>
      <c r="H169" s="15"/>
      <c r="I169" s="1"/>
      <c r="J169" s="1"/>
      <c r="K169" s="1"/>
      <c r="L169" s="1"/>
    </row>
    <row r="170" spans="1:12" x14ac:dyDescent="0.25">
      <c r="A170" s="15"/>
      <c r="B170" s="15"/>
      <c r="C170" s="15"/>
      <c r="D170" s="15"/>
      <c r="E170" s="15"/>
      <c r="F170" s="15"/>
      <c r="G170" s="15"/>
      <c r="H170" s="15"/>
      <c r="I170" s="1"/>
      <c r="J170" s="1"/>
      <c r="K170" s="1"/>
      <c r="L170" s="1"/>
    </row>
    <row r="171" spans="1:12" x14ac:dyDescent="0.25">
      <c r="A171" s="15"/>
      <c r="B171" s="15"/>
      <c r="C171" s="15"/>
      <c r="D171" s="15"/>
      <c r="E171" s="15"/>
      <c r="F171" s="15"/>
      <c r="G171" s="15"/>
      <c r="H171" s="15"/>
      <c r="I171" s="1"/>
      <c r="J171" s="1"/>
      <c r="K171" s="1"/>
      <c r="L171" s="1"/>
    </row>
    <row r="172" spans="1:12" x14ac:dyDescent="0.25">
      <c r="A172" s="15"/>
      <c r="B172" s="15"/>
      <c r="C172" s="15"/>
      <c r="D172" s="15"/>
      <c r="E172" s="15"/>
      <c r="F172" s="15"/>
      <c r="G172" s="15"/>
      <c r="H172" s="15"/>
      <c r="I172" s="1"/>
      <c r="J172" s="1"/>
      <c r="K172" s="1"/>
      <c r="L172" s="1"/>
    </row>
    <row r="173" spans="1:12" x14ac:dyDescent="0.25">
      <c r="A173" s="15"/>
      <c r="B173" s="15"/>
      <c r="C173" s="15"/>
      <c r="D173" s="15"/>
      <c r="E173" s="15"/>
      <c r="F173" s="15"/>
      <c r="G173" s="15"/>
      <c r="H173" s="15"/>
      <c r="I173" s="1"/>
      <c r="J173" s="1"/>
      <c r="K173" s="1"/>
      <c r="L173" s="1"/>
    </row>
    <row r="174" spans="1:12" x14ac:dyDescent="0.25">
      <c r="A174" s="15"/>
      <c r="B174" s="15"/>
      <c r="C174" s="15"/>
      <c r="D174" s="15"/>
      <c r="E174" s="15"/>
      <c r="F174" s="15"/>
      <c r="G174" s="15"/>
      <c r="H174" s="15"/>
      <c r="I174" s="1"/>
      <c r="J174" s="1"/>
      <c r="K174" s="1"/>
      <c r="L174" s="1"/>
    </row>
    <row r="175" spans="1:12" x14ac:dyDescent="0.25">
      <c r="A175" s="15"/>
      <c r="B175" s="15"/>
      <c r="C175" s="15"/>
      <c r="D175" s="15"/>
      <c r="E175" s="15"/>
      <c r="F175" s="15"/>
      <c r="G175" s="15"/>
      <c r="H175" s="15"/>
      <c r="I175" s="1"/>
      <c r="J175" s="1"/>
      <c r="K175" s="1"/>
      <c r="L175" s="1"/>
    </row>
    <row r="176" spans="1:12" x14ac:dyDescent="0.25">
      <c r="A176" s="15"/>
      <c r="B176" s="15"/>
      <c r="C176" s="15"/>
      <c r="D176" s="15"/>
      <c r="E176" s="15"/>
      <c r="F176" s="15"/>
      <c r="G176" s="15"/>
      <c r="H176" s="15"/>
      <c r="I176" s="1"/>
      <c r="J176" s="1"/>
      <c r="K176" s="1"/>
      <c r="L176" s="1"/>
    </row>
    <row r="177" spans="1:12" x14ac:dyDescent="0.25">
      <c r="A177" s="15"/>
      <c r="B177" s="15"/>
      <c r="C177" s="15"/>
      <c r="D177" s="15"/>
      <c r="E177" s="15"/>
      <c r="F177" s="15"/>
      <c r="G177" s="15"/>
      <c r="H177" s="15"/>
      <c r="I177" s="1"/>
      <c r="J177" s="1"/>
      <c r="K177" s="1"/>
      <c r="L177" s="1"/>
    </row>
    <row r="178" spans="1:12" x14ac:dyDescent="0.25">
      <c r="A178" s="15"/>
      <c r="B178" s="15"/>
      <c r="C178" s="15"/>
      <c r="D178" s="15"/>
      <c r="E178" s="15"/>
      <c r="F178" s="15"/>
      <c r="G178" s="15"/>
      <c r="H178" s="15"/>
      <c r="I178" s="1"/>
      <c r="J178" s="1"/>
      <c r="K178" s="1"/>
      <c r="L178" s="1"/>
    </row>
    <row r="179" spans="1:12" x14ac:dyDescent="0.25">
      <c r="A179" s="15"/>
      <c r="B179" s="15"/>
      <c r="C179" s="15"/>
      <c r="D179" s="15"/>
      <c r="E179" s="15"/>
      <c r="F179" s="15"/>
      <c r="G179" s="15"/>
      <c r="H179" s="15"/>
      <c r="I179" s="1"/>
      <c r="J179" s="1"/>
      <c r="K179" s="1"/>
      <c r="L179" s="1"/>
    </row>
    <row r="180" spans="1:12" x14ac:dyDescent="0.25">
      <c r="A180" s="15"/>
      <c r="B180" s="15"/>
      <c r="C180" s="15"/>
      <c r="D180" s="15"/>
      <c r="E180" s="15"/>
      <c r="F180" s="15"/>
      <c r="G180" s="15"/>
      <c r="H180" s="15"/>
      <c r="I180" s="1"/>
      <c r="J180" s="1"/>
      <c r="K180" s="1"/>
      <c r="L180" s="1"/>
    </row>
    <row r="181" spans="1:12" x14ac:dyDescent="0.25">
      <c r="A181" s="15"/>
      <c r="B181" s="15"/>
      <c r="C181" s="15"/>
      <c r="D181" s="15"/>
      <c r="E181" s="15"/>
      <c r="F181" s="15"/>
      <c r="G181" s="15"/>
      <c r="H181" s="15"/>
      <c r="I181" s="1"/>
      <c r="J181" s="1"/>
      <c r="K181" s="1"/>
      <c r="L181" s="1"/>
    </row>
    <row r="182" spans="1:12" x14ac:dyDescent="0.25">
      <c r="A182" s="15"/>
      <c r="B182" s="15"/>
      <c r="C182" s="15"/>
      <c r="D182" s="15"/>
      <c r="E182" s="15"/>
      <c r="F182" s="15"/>
      <c r="G182" s="15"/>
      <c r="H182" s="15"/>
      <c r="I182" s="1"/>
      <c r="J182" s="1"/>
      <c r="K182" s="1"/>
      <c r="L182" s="1"/>
    </row>
    <row r="183" spans="1:12" x14ac:dyDescent="0.25">
      <c r="A183" s="15"/>
      <c r="B183" s="15"/>
      <c r="C183" s="15"/>
      <c r="D183" s="15"/>
      <c r="E183" s="15"/>
      <c r="F183" s="15"/>
      <c r="G183" s="15"/>
      <c r="H183" s="15"/>
      <c r="I183" s="1"/>
      <c r="J183" s="1"/>
      <c r="K183" s="1"/>
      <c r="L183" s="1"/>
    </row>
    <row r="184" spans="1:12" x14ac:dyDescent="0.25">
      <c r="A184" s="15"/>
      <c r="B184" s="15"/>
      <c r="C184" s="15"/>
      <c r="D184" s="15"/>
      <c r="E184" s="15"/>
      <c r="F184" s="15"/>
      <c r="G184" s="15"/>
      <c r="H184" s="15"/>
      <c r="I184" s="1"/>
      <c r="J184" s="1"/>
      <c r="K184" s="1"/>
      <c r="L184" s="1"/>
    </row>
    <row r="185" spans="1:12" x14ac:dyDescent="0.25">
      <c r="A185" s="15"/>
      <c r="B185" s="15"/>
      <c r="C185" s="15"/>
      <c r="D185" s="15"/>
      <c r="E185" s="15"/>
      <c r="F185" s="15"/>
      <c r="G185" s="15"/>
      <c r="H185" s="15"/>
      <c r="I185" s="1"/>
      <c r="J185" s="1"/>
      <c r="K185" s="1"/>
      <c r="L185" s="1"/>
    </row>
    <row r="186" spans="1:12" x14ac:dyDescent="0.25">
      <c r="A186" s="15"/>
      <c r="B186" s="15"/>
      <c r="C186" s="15"/>
      <c r="D186" s="15"/>
      <c r="E186" s="15"/>
      <c r="F186" s="15"/>
      <c r="G186" s="15"/>
      <c r="H186" s="15"/>
      <c r="I186" s="1"/>
      <c r="J186" s="1"/>
      <c r="K186" s="1"/>
      <c r="L186" s="1"/>
    </row>
    <row r="187" spans="1:12" x14ac:dyDescent="0.25">
      <c r="A187" s="15"/>
      <c r="B187" s="15"/>
      <c r="C187" s="15"/>
      <c r="D187" s="15"/>
      <c r="E187" s="15"/>
      <c r="F187" s="15"/>
      <c r="G187" s="15"/>
      <c r="H187" s="15"/>
      <c r="I187" s="1"/>
      <c r="J187" s="1"/>
      <c r="K187" s="1"/>
      <c r="L187" s="1"/>
    </row>
    <row r="188" spans="1:12" x14ac:dyDescent="0.25">
      <c r="A188" s="15"/>
      <c r="B188" s="15"/>
      <c r="C188" s="15"/>
      <c r="D188" s="15"/>
      <c r="E188" s="15"/>
      <c r="F188" s="15"/>
      <c r="G188" s="15"/>
      <c r="H188" s="15"/>
      <c r="I188" s="1"/>
      <c r="J188" s="1"/>
      <c r="K188" s="1"/>
      <c r="L188" s="1"/>
    </row>
    <row r="189" spans="1:12" x14ac:dyDescent="0.25">
      <c r="A189" s="15"/>
      <c r="B189" s="15"/>
      <c r="C189" s="15"/>
      <c r="D189" s="15"/>
      <c r="E189" s="15"/>
      <c r="F189" s="15"/>
      <c r="G189" s="15"/>
      <c r="H189" s="15"/>
      <c r="I189" s="1"/>
      <c r="J189" s="1"/>
      <c r="K189" s="1"/>
      <c r="L189" s="1"/>
    </row>
    <row r="190" spans="1:12" x14ac:dyDescent="0.25">
      <c r="A190" s="15"/>
      <c r="B190" s="15"/>
      <c r="C190" s="15"/>
      <c r="D190" s="15"/>
      <c r="E190" s="15"/>
      <c r="F190" s="15"/>
      <c r="G190" s="15"/>
      <c r="H190" s="15"/>
      <c r="I190" s="1"/>
      <c r="J190" s="1"/>
      <c r="K190" s="1"/>
      <c r="L190" s="1"/>
    </row>
    <row r="191" spans="1:12" x14ac:dyDescent="0.25">
      <c r="A191" s="15"/>
      <c r="B191" s="15"/>
      <c r="C191" s="15"/>
      <c r="D191" s="15"/>
      <c r="E191" s="15"/>
      <c r="F191" s="15"/>
      <c r="G191" s="15"/>
      <c r="H191" s="15"/>
      <c r="I191" s="1"/>
      <c r="J191" s="1"/>
      <c r="K191" s="1"/>
      <c r="L191" s="1"/>
    </row>
    <row r="192" spans="1:12" x14ac:dyDescent="0.25">
      <c r="A192" s="15"/>
      <c r="B192" s="15"/>
      <c r="C192" s="15"/>
      <c r="D192" s="15"/>
      <c r="E192" s="15"/>
      <c r="F192" s="15"/>
      <c r="G192" s="15"/>
      <c r="H192" s="15"/>
      <c r="I192" s="1"/>
      <c r="J192" s="1"/>
      <c r="K192" s="1"/>
      <c r="L192" s="1"/>
    </row>
    <row r="193" spans="1:12" x14ac:dyDescent="0.25">
      <c r="A193" s="15"/>
      <c r="B193" s="15"/>
      <c r="C193" s="15"/>
      <c r="D193" s="15"/>
      <c r="E193" s="15"/>
      <c r="F193" s="15"/>
      <c r="G193" s="15"/>
      <c r="H193" s="15"/>
      <c r="I193" s="1"/>
      <c r="J193" s="1"/>
      <c r="K193" s="1"/>
      <c r="L193" s="1"/>
    </row>
    <row r="194" spans="1:12" x14ac:dyDescent="0.25">
      <c r="A194" s="15"/>
      <c r="B194" s="15"/>
      <c r="C194" s="15"/>
      <c r="D194" s="15"/>
      <c r="E194" s="15"/>
      <c r="F194" s="15"/>
      <c r="G194" s="15"/>
      <c r="H194" s="15"/>
      <c r="I194" s="1"/>
      <c r="J194" s="1"/>
      <c r="K194" s="1"/>
      <c r="L194" s="1"/>
    </row>
    <row r="195" spans="1:12" x14ac:dyDescent="0.25">
      <c r="A195" s="15"/>
      <c r="B195" s="15"/>
      <c r="C195" s="15"/>
      <c r="D195" s="15"/>
      <c r="E195" s="15"/>
      <c r="F195" s="15"/>
      <c r="G195" s="15"/>
      <c r="H195" s="15"/>
      <c r="I195" s="1"/>
      <c r="J195" s="1"/>
      <c r="K195" s="1"/>
      <c r="L195" s="1"/>
    </row>
    <row r="196" spans="1:12" x14ac:dyDescent="0.25">
      <c r="A196" s="15"/>
      <c r="B196" s="15"/>
      <c r="C196" s="15"/>
      <c r="D196" s="15"/>
      <c r="E196" s="15"/>
      <c r="F196" s="15"/>
      <c r="G196" s="15"/>
      <c r="H196" s="15"/>
      <c r="I196" s="1"/>
      <c r="J196" s="1"/>
      <c r="K196" s="1"/>
      <c r="L196" s="1"/>
    </row>
    <row r="197" spans="1:12" x14ac:dyDescent="0.25">
      <c r="A197" s="15"/>
      <c r="B197" s="15"/>
      <c r="C197" s="15"/>
      <c r="D197" s="15"/>
      <c r="E197" s="15"/>
      <c r="F197" s="15"/>
      <c r="G197" s="15"/>
      <c r="H197" s="15"/>
      <c r="I197" s="1"/>
      <c r="J197" s="1"/>
      <c r="K197" s="1"/>
      <c r="L197" s="1"/>
    </row>
    <row r="198" spans="1:12" x14ac:dyDescent="0.25">
      <c r="A198" s="15"/>
      <c r="B198" s="15"/>
      <c r="C198" s="15"/>
      <c r="D198" s="15"/>
      <c r="E198" s="15"/>
      <c r="F198" s="15"/>
      <c r="G198" s="15"/>
      <c r="H198" s="15"/>
      <c r="I198" s="1"/>
      <c r="J198" s="1"/>
      <c r="K198" s="1"/>
      <c r="L198" s="1"/>
    </row>
    <row r="199" spans="1:12" x14ac:dyDescent="0.25">
      <c r="A199" s="15"/>
      <c r="B199" s="15"/>
      <c r="C199" s="15"/>
      <c r="D199" s="15"/>
      <c r="E199" s="15"/>
      <c r="F199" s="15"/>
      <c r="G199" s="15"/>
      <c r="H199" s="15"/>
      <c r="I199" s="1"/>
      <c r="J199" s="1"/>
      <c r="K199" s="1"/>
      <c r="L199" s="1"/>
    </row>
    <row r="200" spans="1:12" x14ac:dyDescent="0.25">
      <c r="A200" s="15"/>
      <c r="B200" s="15"/>
      <c r="C200" s="15"/>
      <c r="D200" s="15"/>
      <c r="E200" s="15"/>
      <c r="F200" s="15"/>
      <c r="G200" s="15"/>
      <c r="H200" s="15"/>
      <c r="I200" s="1"/>
      <c r="J200" s="1"/>
      <c r="K200" s="1"/>
      <c r="L200" s="1"/>
    </row>
    <row r="201" spans="1:12" x14ac:dyDescent="0.25">
      <c r="A201" s="15"/>
      <c r="B201" s="15"/>
      <c r="C201" s="15"/>
      <c r="D201" s="15"/>
      <c r="E201" s="15"/>
      <c r="F201" s="15"/>
      <c r="G201" s="15"/>
      <c r="H201" s="15"/>
      <c r="I201" s="1"/>
      <c r="J201" s="1"/>
      <c r="K201" s="1"/>
      <c r="L201" s="1"/>
    </row>
    <row r="202" spans="1:12" ht="13" x14ac:dyDescent="0.3">
      <c r="A202" s="15"/>
      <c r="B202" s="15"/>
      <c r="C202" s="15"/>
      <c r="D202" s="15"/>
      <c r="E202" s="15"/>
      <c r="F202" s="15"/>
      <c r="G202" s="15"/>
      <c r="H202" s="15"/>
      <c r="I202" s="14"/>
      <c r="J202" s="14"/>
      <c r="K202" s="14"/>
    </row>
    <row r="203" spans="1:12" ht="13" x14ac:dyDescent="0.3">
      <c r="A203" s="15"/>
      <c r="B203" s="15"/>
      <c r="C203" s="15"/>
      <c r="D203" s="15"/>
      <c r="E203" s="15"/>
      <c r="F203" s="15"/>
      <c r="G203" s="15"/>
      <c r="H203" s="15"/>
      <c r="I203" s="14"/>
      <c r="J203" s="14"/>
      <c r="K203" s="14"/>
    </row>
    <row r="204" spans="1:12" ht="13" x14ac:dyDescent="0.3">
      <c r="A204" s="14"/>
      <c r="B204" s="14"/>
      <c r="C204" s="14"/>
      <c r="D204" s="14"/>
      <c r="E204" s="14"/>
      <c r="F204" s="14"/>
      <c r="G204" s="14"/>
      <c r="H204" s="14"/>
      <c r="I204" s="14"/>
      <c r="J204" s="14"/>
      <c r="K204" s="14"/>
    </row>
    <row r="205" spans="1:12" ht="13" x14ac:dyDescent="0.3">
      <c r="A205" s="14"/>
      <c r="B205" s="14"/>
      <c r="C205" s="14"/>
      <c r="D205" s="14"/>
      <c r="E205" s="14"/>
      <c r="F205" s="14"/>
      <c r="G205" s="14"/>
      <c r="H205" s="14"/>
      <c r="I205" s="14"/>
      <c r="J205" s="14"/>
      <c r="K205" s="14"/>
    </row>
    <row r="206" spans="1:12" ht="13" x14ac:dyDescent="0.3">
      <c r="A206" s="14"/>
      <c r="B206" s="14"/>
      <c r="C206" s="14"/>
      <c r="D206" s="14"/>
      <c r="E206" s="14"/>
      <c r="F206" s="14"/>
      <c r="G206" s="14"/>
      <c r="H206" s="14"/>
      <c r="I206" s="14"/>
      <c r="J206" s="14"/>
      <c r="K206" s="14"/>
    </row>
    <row r="207" spans="1:12" ht="13" x14ac:dyDescent="0.3">
      <c r="A207" s="14"/>
      <c r="B207" s="14"/>
      <c r="C207" s="14"/>
      <c r="D207" s="14"/>
      <c r="E207" s="14"/>
      <c r="F207" s="14"/>
      <c r="G207" s="14"/>
      <c r="H207" s="14"/>
      <c r="I207" s="14"/>
      <c r="J207" s="14"/>
      <c r="K207" s="14"/>
    </row>
    <row r="208" spans="1:12" ht="13" x14ac:dyDescent="0.3">
      <c r="A208" s="14"/>
      <c r="B208" s="14"/>
      <c r="C208" s="14"/>
      <c r="D208" s="14"/>
      <c r="E208" s="14"/>
      <c r="F208" s="14"/>
      <c r="G208" s="14"/>
      <c r="H208" s="14"/>
      <c r="I208" s="14"/>
      <c r="J208" s="14"/>
      <c r="K208" s="14"/>
    </row>
    <row r="209" spans="1:11" ht="13" x14ac:dyDescent="0.3">
      <c r="A209" s="14"/>
      <c r="B209" s="14"/>
      <c r="C209" s="14"/>
      <c r="D209" s="14"/>
      <c r="E209" s="14"/>
      <c r="F209" s="14"/>
      <c r="G209" s="14"/>
      <c r="H209" s="14"/>
      <c r="I209" s="14"/>
      <c r="J209" s="14"/>
      <c r="K209" s="14"/>
    </row>
    <row r="210" spans="1:11" ht="13" x14ac:dyDescent="0.3">
      <c r="A210" s="14"/>
      <c r="B210" s="14"/>
      <c r="C210" s="14"/>
      <c r="D210" s="14"/>
      <c r="E210" s="14"/>
      <c r="F210" s="14"/>
      <c r="G210" s="14"/>
      <c r="H210" s="14"/>
      <c r="I210" s="14"/>
      <c r="J210" s="14"/>
      <c r="K210" s="14"/>
    </row>
    <row r="211" spans="1:11" ht="13" x14ac:dyDescent="0.3">
      <c r="A211" s="14"/>
      <c r="B211" s="14"/>
      <c r="C211" s="14"/>
      <c r="D211" s="14"/>
      <c r="E211" s="14"/>
      <c r="F211" s="14"/>
      <c r="G211" s="14"/>
      <c r="H211" s="14"/>
      <c r="I211" s="14"/>
      <c r="J211" s="14"/>
      <c r="K211" s="14"/>
    </row>
    <row r="212" spans="1:11" ht="13" x14ac:dyDescent="0.3">
      <c r="A212" s="14"/>
      <c r="B212" s="14"/>
      <c r="C212" s="14"/>
      <c r="D212" s="14"/>
      <c r="E212" s="14"/>
      <c r="F212" s="14"/>
      <c r="G212" s="14"/>
      <c r="H212" s="14"/>
      <c r="I212" s="14"/>
      <c r="J212" s="14"/>
      <c r="K212" s="14"/>
    </row>
    <row r="213" spans="1:11" ht="13" x14ac:dyDescent="0.3">
      <c r="A213" s="14"/>
      <c r="B213" s="14"/>
      <c r="C213" s="14"/>
      <c r="D213" s="14"/>
      <c r="E213" s="14"/>
      <c r="F213" s="14"/>
      <c r="G213" s="14"/>
      <c r="H213" s="14"/>
      <c r="I213" s="14"/>
      <c r="J213" s="14"/>
      <c r="K213" s="14"/>
    </row>
    <row r="214" spans="1:11" ht="13" x14ac:dyDescent="0.3">
      <c r="A214" s="14"/>
      <c r="B214" s="14"/>
      <c r="C214" s="14"/>
      <c r="D214" s="14"/>
      <c r="E214" s="14"/>
      <c r="F214" s="14"/>
      <c r="G214" s="14"/>
      <c r="H214" s="14"/>
      <c r="I214" s="14"/>
      <c r="J214" s="14"/>
      <c r="K214" s="14"/>
    </row>
    <row r="215" spans="1:11" ht="13" x14ac:dyDescent="0.3">
      <c r="A215" s="14"/>
      <c r="B215" s="14"/>
      <c r="C215" s="14"/>
      <c r="D215" s="14"/>
      <c r="E215" s="14"/>
      <c r="F215" s="14"/>
      <c r="G215" s="14"/>
      <c r="H215" s="14"/>
      <c r="I215" s="14"/>
      <c r="J215" s="14"/>
      <c r="K215" s="14"/>
    </row>
    <row r="216" spans="1:11" ht="13" x14ac:dyDescent="0.3">
      <c r="A216" s="14"/>
      <c r="B216" s="14"/>
      <c r="C216" s="14"/>
      <c r="D216" s="14"/>
      <c r="E216" s="14"/>
      <c r="F216" s="14"/>
      <c r="G216" s="14"/>
      <c r="H216" s="14"/>
      <c r="I216" s="14"/>
      <c r="J216" s="14"/>
      <c r="K216" s="14"/>
    </row>
    <row r="217" spans="1:11" ht="13" x14ac:dyDescent="0.3">
      <c r="A217" s="14"/>
      <c r="B217" s="14"/>
      <c r="C217" s="14"/>
      <c r="D217" s="14"/>
      <c r="E217" s="14"/>
      <c r="F217" s="14"/>
      <c r="G217" s="14"/>
      <c r="H217" s="14"/>
      <c r="I217" s="14"/>
      <c r="J217" s="14"/>
      <c r="K217" s="14"/>
    </row>
    <row r="218" spans="1:11" ht="13" x14ac:dyDescent="0.3">
      <c r="A218" s="14"/>
      <c r="B218" s="14"/>
      <c r="C218" s="14"/>
      <c r="D218" s="14"/>
      <c r="E218" s="14"/>
      <c r="F218" s="14"/>
      <c r="G218" s="14"/>
      <c r="H218" s="14"/>
      <c r="I218" s="14"/>
      <c r="J218" s="14"/>
      <c r="K218" s="14"/>
    </row>
    <row r="219" spans="1:11" ht="13" x14ac:dyDescent="0.3">
      <c r="A219" s="14"/>
      <c r="B219" s="14"/>
      <c r="C219" s="14"/>
      <c r="D219" s="14"/>
      <c r="E219" s="14"/>
      <c r="F219" s="14"/>
      <c r="G219" s="14"/>
      <c r="H219" s="14"/>
      <c r="I219" s="14"/>
      <c r="J219" s="14"/>
      <c r="K219" s="14"/>
    </row>
    <row r="220" spans="1:11" ht="13" x14ac:dyDescent="0.3">
      <c r="A220" s="14"/>
      <c r="B220" s="14"/>
      <c r="C220" s="14"/>
      <c r="D220" s="14"/>
      <c r="E220" s="14"/>
      <c r="F220" s="14"/>
      <c r="G220" s="14"/>
      <c r="H220" s="14"/>
      <c r="I220" s="14"/>
      <c r="J220" s="14"/>
      <c r="K220" s="14"/>
    </row>
    <row r="221" spans="1:11" ht="13" x14ac:dyDescent="0.3">
      <c r="A221" s="14"/>
      <c r="B221" s="14"/>
      <c r="C221" s="14"/>
      <c r="D221" s="14"/>
      <c r="E221" s="14"/>
      <c r="F221" s="14"/>
      <c r="G221" s="14"/>
      <c r="H221" s="14"/>
      <c r="I221" s="14"/>
      <c r="J221" s="14"/>
      <c r="K221" s="14"/>
    </row>
    <row r="222" spans="1:11" ht="13" x14ac:dyDescent="0.3">
      <c r="A222" s="14"/>
      <c r="B222" s="14"/>
      <c r="C222" s="14"/>
      <c r="D222" s="14"/>
      <c r="E222" s="14"/>
      <c r="F222" s="14"/>
      <c r="G222" s="14"/>
      <c r="H222" s="14"/>
      <c r="I222" s="14"/>
      <c r="J222" s="14"/>
      <c r="K222" s="14"/>
    </row>
    <row r="223" spans="1:11" ht="13" x14ac:dyDescent="0.3">
      <c r="A223" s="14"/>
      <c r="B223" s="14"/>
      <c r="C223" s="14"/>
      <c r="D223" s="14"/>
      <c r="E223" s="14"/>
      <c r="F223" s="14"/>
      <c r="G223" s="14"/>
      <c r="H223" s="14"/>
      <c r="I223" s="14"/>
      <c r="J223" s="14"/>
      <c r="K223" s="14"/>
    </row>
    <row r="224" spans="1:11" ht="13" x14ac:dyDescent="0.3">
      <c r="A224" s="14"/>
      <c r="B224" s="14"/>
      <c r="C224" s="14"/>
      <c r="D224" s="14"/>
      <c r="E224" s="14"/>
      <c r="F224" s="14"/>
      <c r="G224" s="14"/>
      <c r="H224" s="14"/>
      <c r="I224" s="14"/>
      <c r="J224" s="14"/>
      <c r="K224" s="14"/>
    </row>
    <row r="225" spans="1:11" ht="13" x14ac:dyDescent="0.3">
      <c r="A225" s="14"/>
      <c r="B225" s="14"/>
      <c r="C225" s="14"/>
      <c r="D225" s="14"/>
      <c r="E225" s="14"/>
      <c r="F225" s="14"/>
      <c r="G225" s="14"/>
      <c r="H225" s="14"/>
      <c r="I225" s="14"/>
      <c r="J225" s="14"/>
      <c r="K225" s="14"/>
    </row>
    <row r="226" spans="1:11" ht="13" x14ac:dyDescent="0.3">
      <c r="A226" s="14"/>
      <c r="B226" s="14"/>
      <c r="C226" s="14"/>
      <c r="D226" s="14"/>
      <c r="E226" s="14"/>
      <c r="F226" s="14"/>
      <c r="G226" s="14"/>
      <c r="H226" s="14"/>
      <c r="I226" s="14"/>
      <c r="J226" s="14"/>
      <c r="K226" s="14"/>
    </row>
    <row r="227" spans="1:11" ht="13" x14ac:dyDescent="0.3">
      <c r="A227" s="14"/>
      <c r="B227" s="14"/>
      <c r="C227" s="14"/>
      <c r="D227" s="14"/>
      <c r="E227" s="14"/>
      <c r="F227" s="14"/>
      <c r="G227" s="14"/>
      <c r="H227" s="14"/>
      <c r="I227" s="14"/>
      <c r="J227" s="14"/>
      <c r="K227" s="14"/>
    </row>
    <row r="228" spans="1:11" ht="13" x14ac:dyDescent="0.3">
      <c r="A228" s="14"/>
      <c r="B228" s="14"/>
      <c r="C228" s="14"/>
      <c r="D228" s="14"/>
      <c r="E228" s="14"/>
      <c r="F228" s="14"/>
      <c r="G228" s="14"/>
      <c r="H228" s="14"/>
      <c r="I228" s="14"/>
      <c r="J228" s="14"/>
      <c r="K228" s="14"/>
    </row>
    <row r="229" spans="1:11" ht="13" x14ac:dyDescent="0.3">
      <c r="A229" s="14"/>
      <c r="B229" s="14"/>
      <c r="C229" s="14"/>
      <c r="D229" s="14"/>
      <c r="E229" s="14"/>
      <c r="F229" s="14"/>
      <c r="G229" s="14"/>
      <c r="H229" s="14"/>
      <c r="I229" s="14"/>
      <c r="J229" s="14"/>
      <c r="K229" s="14"/>
    </row>
    <row r="230" spans="1:11" ht="13" x14ac:dyDescent="0.3">
      <c r="A230" s="14"/>
      <c r="B230" s="14"/>
      <c r="C230" s="14"/>
      <c r="D230" s="14"/>
      <c r="E230" s="14"/>
      <c r="F230" s="14"/>
      <c r="G230" s="14"/>
      <c r="H230" s="14"/>
      <c r="I230" s="14"/>
      <c r="J230" s="14"/>
      <c r="K230" s="14"/>
    </row>
    <row r="231" spans="1:11" ht="13" x14ac:dyDescent="0.3">
      <c r="A231" s="14"/>
      <c r="B231" s="14"/>
      <c r="C231" s="14"/>
      <c r="D231" s="14"/>
      <c r="E231" s="14"/>
      <c r="F231" s="14"/>
      <c r="G231" s="14"/>
      <c r="H231" s="14"/>
      <c r="I231" s="14"/>
      <c r="J231" s="14"/>
      <c r="K231" s="14"/>
    </row>
    <row r="232" spans="1:11" ht="13" x14ac:dyDescent="0.3">
      <c r="A232" s="14"/>
      <c r="B232" s="14"/>
      <c r="C232" s="14"/>
      <c r="D232" s="14"/>
      <c r="E232" s="14"/>
      <c r="F232" s="14"/>
      <c r="G232" s="14"/>
      <c r="H232" s="14"/>
      <c r="I232" s="14"/>
      <c r="J232" s="14"/>
      <c r="K232" s="14"/>
    </row>
    <row r="233" spans="1:11" ht="13" x14ac:dyDescent="0.3">
      <c r="A233" s="14"/>
      <c r="B233" s="14"/>
      <c r="C233" s="14"/>
      <c r="D233" s="14"/>
      <c r="E233" s="14"/>
      <c r="F233" s="14"/>
      <c r="G233" s="14"/>
      <c r="H233" s="14"/>
      <c r="I233" s="14"/>
      <c r="J233" s="14"/>
      <c r="K233" s="14"/>
    </row>
    <row r="234" spans="1:11" ht="13" x14ac:dyDescent="0.3">
      <c r="A234" s="14"/>
      <c r="B234" s="14"/>
      <c r="C234" s="14"/>
      <c r="D234" s="14"/>
      <c r="E234" s="14"/>
      <c r="F234" s="14"/>
      <c r="G234" s="14"/>
      <c r="H234" s="14"/>
      <c r="I234" s="14"/>
      <c r="J234" s="14"/>
      <c r="K234" s="14"/>
    </row>
    <row r="235" spans="1:11" ht="13" x14ac:dyDescent="0.3">
      <c r="A235" s="14"/>
      <c r="B235" s="14"/>
      <c r="C235" s="14"/>
      <c r="D235" s="14"/>
      <c r="E235" s="14"/>
      <c r="F235" s="14"/>
      <c r="G235" s="14"/>
      <c r="H235" s="14"/>
      <c r="I235" s="14"/>
      <c r="J235" s="14"/>
      <c r="K235" s="14"/>
    </row>
    <row r="236" spans="1:11" ht="13" x14ac:dyDescent="0.3">
      <c r="A236" s="14"/>
      <c r="B236" s="14"/>
      <c r="C236" s="14"/>
      <c r="D236" s="14"/>
      <c r="E236" s="14"/>
      <c r="F236" s="14"/>
      <c r="G236" s="14"/>
      <c r="H236" s="14"/>
      <c r="I236" s="14"/>
      <c r="J236" s="14"/>
      <c r="K236" s="14"/>
    </row>
    <row r="237" spans="1:11" ht="13" x14ac:dyDescent="0.3">
      <c r="A237" s="14"/>
      <c r="B237" s="14"/>
      <c r="C237" s="14"/>
      <c r="D237" s="14"/>
      <c r="E237" s="14"/>
      <c r="F237" s="14"/>
      <c r="G237" s="14"/>
      <c r="H237" s="14"/>
      <c r="I237" s="14"/>
      <c r="J237" s="14"/>
      <c r="K237" s="14"/>
    </row>
    <row r="238" spans="1:11" ht="13" x14ac:dyDescent="0.3">
      <c r="A238" s="14"/>
      <c r="B238" s="14"/>
      <c r="C238" s="14"/>
      <c r="D238" s="14"/>
      <c r="E238" s="14"/>
      <c r="F238" s="14"/>
      <c r="G238" s="14"/>
      <c r="H238" s="14"/>
      <c r="I238" s="14"/>
      <c r="J238" s="14"/>
      <c r="K238" s="14"/>
    </row>
    <row r="239" spans="1:11" ht="13" x14ac:dyDescent="0.3">
      <c r="A239" s="14"/>
      <c r="B239" s="14"/>
      <c r="C239" s="14"/>
      <c r="D239" s="14"/>
      <c r="E239" s="14"/>
      <c r="F239" s="14"/>
      <c r="G239" s="14"/>
      <c r="H239" s="14"/>
      <c r="I239" s="14"/>
      <c r="J239" s="14"/>
      <c r="K239" s="14"/>
    </row>
    <row r="240" spans="1:11" ht="13" x14ac:dyDescent="0.3">
      <c r="A240" s="14"/>
      <c r="B240" s="14"/>
      <c r="C240" s="14"/>
      <c r="D240" s="14"/>
      <c r="E240" s="14"/>
      <c r="F240" s="14"/>
      <c r="G240" s="14"/>
      <c r="H240" s="14"/>
      <c r="I240" s="14"/>
      <c r="J240" s="14"/>
      <c r="K240" s="14"/>
    </row>
    <row r="241" spans="1:11" ht="13" x14ac:dyDescent="0.3">
      <c r="A241" s="14"/>
      <c r="B241" s="14"/>
      <c r="C241" s="14"/>
      <c r="D241" s="14"/>
      <c r="E241" s="14"/>
      <c r="F241" s="14"/>
      <c r="G241" s="14"/>
      <c r="H241" s="14"/>
      <c r="I241" s="14"/>
      <c r="J241" s="14"/>
      <c r="K241" s="14"/>
    </row>
    <row r="242" spans="1:11" ht="13" x14ac:dyDescent="0.3">
      <c r="A242" s="14"/>
      <c r="B242" s="14"/>
      <c r="C242" s="14"/>
      <c r="D242" s="14"/>
      <c r="E242" s="14"/>
      <c r="F242" s="14"/>
      <c r="G242" s="14"/>
      <c r="H242" s="14"/>
      <c r="I242" s="14"/>
      <c r="J242" s="14"/>
      <c r="K242" s="14"/>
    </row>
    <row r="243" spans="1:11" ht="13" x14ac:dyDescent="0.3">
      <c r="A243" s="14"/>
      <c r="B243" s="14"/>
      <c r="C243" s="14"/>
      <c r="D243" s="14"/>
      <c r="E243" s="14"/>
      <c r="F243" s="14"/>
      <c r="G243" s="14"/>
      <c r="H243" s="14"/>
      <c r="I243" s="14"/>
      <c r="J243" s="14"/>
      <c r="K243" s="14"/>
    </row>
    <row r="244" spans="1:11" ht="13" x14ac:dyDescent="0.3">
      <c r="A244" s="14"/>
      <c r="B244" s="14"/>
      <c r="C244" s="14"/>
      <c r="D244" s="14"/>
      <c r="E244" s="14"/>
      <c r="F244" s="14"/>
      <c r="G244" s="14"/>
      <c r="H244" s="14"/>
      <c r="I244" s="14"/>
      <c r="J244" s="14"/>
      <c r="K244" s="14"/>
    </row>
    <row r="245" spans="1:11" ht="13" x14ac:dyDescent="0.3">
      <c r="A245" s="14"/>
      <c r="B245" s="14"/>
      <c r="C245" s="14"/>
      <c r="D245" s="14"/>
      <c r="E245" s="14"/>
      <c r="F245" s="14"/>
      <c r="G245" s="14"/>
      <c r="H245" s="14"/>
      <c r="I245" s="14"/>
      <c r="J245" s="14"/>
      <c r="K245" s="14"/>
    </row>
    <row r="246" spans="1:11" ht="13" x14ac:dyDescent="0.3">
      <c r="A246" s="14"/>
      <c r="B246" s="14"/>
      <c r="C246" s="14"/>
      <c r="D246" s="14"/>
      <c r="E246" s="14"/>
      <c r="F246" s="14"/>
      <c r="G246" s="14"/>
      <c r="H246" s="14"/>
      <c r="I246" s="14"/>
      <c r="J246" s="14"/>
      <c r="K246" s="14"/>
    </row>
    <row r="247" spans="1:11" ht="13" x14ac:dyDescent="0.3">
      <c r="A247" s="14"/>
      <c r="B247" s="14"/>
      <c r="C247" s="14"/>
      <c r="D247" s="14"/>
      <c r="E247" s="14"/>
      <c r="F247" s="14"/>
      <c r="G247" s="14"/>
      <c r="H247" s="14"/>
      <c r="I247" s="14"/>
      <c r="J247" s="14"/>
      <c r="K247" s="14"/>
    </row>
    <row r="248" spans="1:11" ht="13" x14ac:dyDescent="0.3">
      <c r="A248" s="14"/>
      <c r="B248" s="14"/>
      <c r="C248" s="14"/>
      <c r="D248" s="14"/>
      <c r="E248" s="14"/>
      <c r="F248" s="14"/>
      <c r="G248" s="14"/>
      <c r="H248" s="14"/>
      <c r="I248" s="14"/>
      <c r="J248" s="14"/>
      <c r="K248" s="14"/>
    </row>
    <row r="249" spans="1:11" ht="13" x14ac:dyDescent="0.3">
      <c r="A249" s="14"/>
      <c r="B249" s="14"/>
      <c r="C249" s="14"/>
      <c r="D249" s="14"/>
      <c r="E249" s="14"/>
      <c r="F249" s="14"/>
      <c r="G249" s="14"/>
      <c r="H249" s="14"/>
      <c r="I249" s="14"/>
      <c r="J249" s="14"/>
      <c r="K249" s="14"/>
    </row>
    <row r="250" spans="1:11" ht="13" x14ac:dyDescent="0.3">
      <c r="A250" s="14"/>
      <c r="B250" s="14"/>
      <c r="C250" s="14"/>
      <c r="D250" s="14"/>
      <c r="E250" s="14"/>
      <c r="F250" s="14"/>
      <c r="G250" s="14"/>
      <c r="H250" s="14"/>
      <c r="I250" s="14"/>
      <c r="J250" s="14"/>
      <c r="K250" s="14"/>
    </row>
    <row r="251" spans="1:11" ht="13" x14ac:dyDescent="0.3">
      <c r="A251" s="14"/>
      <c r="B251" s="14"/>
      <c r="C251" s="14"/>
      <c r="D251" s="14"/>
      <c r="E251" s="14"/>
      <c r="F251" s="14"/>
      <c r="G251" s="14"/>
      <c r="H251" s="14"/>
      <c r="I251" s="14"/>
      <c r="J251" s="14"/>
      <c r="K251" s="14"/>
    </row>
    <row r="252" spans="1:11" ht="13" x14ac:dyDescent="0.3">
      <c r="A252" s="14"/>
      <c r="B252" s="14"/>
      <c r="C252" s="14"/>
      <c r="D252" s="14"/>
      <c r="E252" s="14"/>
      <c r="F252" s="14"/>
      <c r="G252" s="14"/>
      <c r="H252" s="14"/>
      <c r="I252" s="14"/>
      <c r="J252" s="14"/>
      <c r="K252" s="14"/>
    </row>
    <row r="253" spans="1:11" ht="13" x14ac:dyDescent="0.3">
      <c r="A253" s="14"/>
      <c r="B253" s="14"/>
      <c r="C253" s="14"/>
      <c r="D253" s="14"/>
      <c r="E253" s="14"/>
      <c r="F253" s="14"/>
      <c r="G253" s="14"/>
      <c r="H253" s="14"/>
      <c r="I253" s="14"/>
      <c r="J253" s="14"/>
      <c r="K253" s="14"/>
    </row>
    <row r="254" spans="1:11" ht="13" x14ac:dyDescent="0.3">
      <c r="A254" s="14"/>
      <c r="B254" s="14"/>
      <c r="C254" s="14"/>
      <c r="D254" s="14"/>
      <c r="E254" s="14"/>
      <c r="F254" s="14"/>
      <c r="G254" s="14"/>
      <c r="H254" s="14"/>
      <c r="I254" s="14"/>
      <c r="J254" s="14"/>
      <c r="K254" s="14"/>
    </row>
    <row r="255" spans="1:11" ht="13" x14ac:dyDescent="0.3">
      <c r="A255" s="14"/>
      <c r="B255" s="14"/>
      <c r="C255" s="14"/>
      <c r="D255" s="14"/>
      <c r="E255" s="14"/>
      <c r="F255" s="14"/>
      <c r="G255" s="14"/>
      <c r="H255" s="14"/>
      <c r="I255" s="14"/>
      <c r="J255" s="14"/>
      <c r="K255" s="14"/>
    </row>
    <row r="256" spans="1:11" ht="13" x14ac:dyDescent="0.3">
      <c r="A256" s="14"/>
      <c r="B256" s="14"/>
      <c r="C256" s="14"/>
      <c r="D256" s="14"/>
      <c r="E256" s="14"/>
      <c r="F256" s="14"/>
      <c r="G256" s="14"/>
      <c r="H256" s="14"/>
      <c r="I256" s="14"/>
      <c r="J256" s="14"/>
      <c r="K256" s="14"/>
    </row>
    <row r="257" spans="1:11" ht="13" x14ac:dyDescent="0.3">
      <c r="A257" s="14"/>
      <c r="B257" s="14"/>
      <c r="C257" s="14"/>
      <c r="D257" s="14"/>
      <c r="E257" s="14"/>
      <c r="F257" s="14"/>
      <c r="G257" s="14"/>
      <c r="H257" s="14"/>
      <c r="I257" s="14"/>
      <c r="J257" s="14"/>
      <c r="K257" s="14"/>
    </row>
    <row r="258" spans="1:11" ht="13" x14ac:dyDescent="0.3">
      <c r="A258" s="14"/>
      <c r="B258" s="14"/>
      <c r="C258" s="14"/>
      <c r="D258" s="14"/>
      <c r="E258" s="14"/>
      <c r="F258" s="14"/>
      <c r="G258" s="14"/>
      <c r="H258" s="14"/>
      <c r="I258" s="14"/>
      <c r="J258" s="14"/>
      <c r="K258" s="14"/>
    </row>
    <row r="259" spans="1:11" ht="13" x14ac:dyDescent="0.3">
      <c r="A259" s="14"/>
      <c r="B259" s="14"/>
      <c r="C259" s="14"/>
      <c r="D259" s="14"/>
      <c r="E259" s="14"/>
      <c r="F259" s="14"/>
      <c r="G259" s="14"/>
      <c r="H259" s="14"/>
      <c r="I259" s="14"/>
      <c r="J259" s="14"/>
      <c r="K259" s="14"/>
    </row>
    <row r="260" spans="1:11" ht="13" x14ac:dyDescent="0.3">
      <c r="A260" s="14"/>
      <c r="B260" s="14"/>
      <c r="C260" s="14"/>
      <c r="D260" s="14"/>
      <c r="E260" s="14"/>
      <c r="F260" s="14"/>
      <c r="G260" s="14"/>
      <c r="H260" s="14"/>
      <c r="I260" s="14"/>
      <c r="J260" s="14"/>
      <c r="K260" s="14"/>
    </row>
    <row r="261" spans="1:11" ht="13" x14ac:dyDescent="0.3">
      <c r="A261" s="14"/>
      <c r="B261" s="14"/>
      <c r="C261" s="14"/>
      <c r="D261" s="14"/>
      <c r="E261" s="14"/>
      <c r="F261" s="14"/>
      <c r="G261" s="14"/>
      <c r="H261" s="14"/>
      <c r="I261" s="14"/>
      <c r="J261" s="14"/>
      <c r="K261" s="14"/>
    </row>
    <row r="262" spans="1:11" ht="13" x14ac:dyDescent="0.3">
      <c r="A262" s="14"/>
      <c r="B262" s="14"/>
      <c r="C262" s="14"/>
      <c r="D262" s="14"/>
      <c r="E262" s="14"/>
      <c r="F262" s="14"/>
      <c r="G262" s="14"/>
      <c r="H262" s="14"/>
      <c r="I262" s="14"/>
      <c r="J262" s="14"/>
      <c r="K262" s="14"/>
    </row>
    <row r="263" spans="1:11" ht="13" x14ac:dyDescent="0.3">
      <c r="A263" s="14"/>
      <c r="B263" s="14"/>
      <c r="C263" s="14"/>
      <c r="D263" s="14"/>
      <c r="E263" s="14"/>
      <c r="F263" s="14"/>
      <c r="G263" s="14"/>
      <c r="H263" s="14"/>
      <c r="I263" s="14"/>
      <c r="J263" s="14"/>
      <c r="K263" s="14"/>
    </row>
    <row r="264" spans="1:11" ht="13" x14ac:dyDescent="0.3">
      <c r="A264" s="14"/>
      <c r="B264" s="14"/>
      <c r="C264" s="14"/>
      <c r="D264" s="14"/>
      <c r="E264" s="14"/>
      <c r="F264" s="14"/>
      <c r="G264" s="14"/>
      <c r="H264" s="14"/>
      <c r="I264" s="14"/>
      <c r="J264" s="14"/>
      <c r="K264" s="14"/>
    </row>
    <row r="265" spans="1:11" ht="13" x14ac:dyDescent="0.3">
      <c r="A265" s="14"/>
      <c r="B265" s="14"/>
      <c r="C265" s="14"/>
      <c r="D265" s="14"/>
      <c r="E265" s="14"/>
      <c r="F265" s="14"/>
      <c r="G265" s="14"/>
      <c r="H265" s="14"/>
      <c r="I265" s="14"/>
      <c r="J265" s="14"/>
      <c r="K265" s="14"/>
    </row>
    <row r="266" spans="1:11" ht="13" x14ac:dyDescent="0.3">
      <c r="A266" s="14"/>
      <c r="B266" s="14"/>
      <c r="C266" s="14"/>
      <c r="D266" s="14"/>
      <c r="E266" s="14"/>
      <c r="F266" s="14"/>
      <c r="G266" s="14"/>
      <c r="H266" s="14"/>
      <c r="I266" s="14"/>
      <c r="J266" s="14"/>
      <c r="K266" s="14"/>
    </row>
    <row r="267" spans="1:11" ht="13" x14ac:dyDescent="0.3">
      <c r="A267" s="14"/>
      <c r="B267" s="14"/>
      <c r="C267" s="14"/>
      <c r="D267" s="14"/>
      <c r="E267" s="14"/>
      <c r="F267" s="14"/>
      <c r="G267" s="14"/>
      <c r="H267" s="14"/>
      <c r="I267" s="14"/>
      <c r="J267" s="14"/>
      <c r="K267" s="14"/>
    </row>
    <row r="268" spans="1:11" ht="13" x14ac:dyDescent="0.3">
      <c r="A268" s="14"/>
      <c r="B268" s="14"/>
      <c r="C268" s="14"/>
      <c r="D268" s="14"/>
      <c r="E268" s="14"/>
      <c r="F268" s="14"/>
      <c r="G268" s="14"/>
      <c r="H268" s="14"/>
      <c r="I268" s="14"/>
      <c r="J268" s="14"/>
      <c r="K268" s="14"/>
    </row>
    <row r="269" spans="1:11" ht="13" x14ac:dyDescent="0.3">
      <c r="A269" s="14"/>
      <c r="B269" s="14"/>
      <c r="C269" s="14"/>
      <c r="D269" s="14"/>
      <c r="E269" s="14"/>
      <c r="F269" s="14"/>
      <c r="G269" s="14"/>
      <c r="H269" s="14"/>
      <c r="I269" s="14"/>
      <c r="J269" s="14"/>
      <c r="K269" s="14"/>
    </row>
    <row r="270" spans="1:11" ht="13" x14ac:dyDescent="0.3">
      <c r="A270" s="14"/>
      <c r="B270" s="14"/>
      <c r="C270" s="14"/>
      <c r="D270" s="14"/>
      <c r="E270" s="14"/>
      <c r="F270" s="14"/>
      <c r="G270" s="14"/>
      <c r="H270" s="14"/>
      <c r="I270" s="14"/>
      <c r="J270" s="14"/>
      <c r="K270" s="14"/>
    </row>
    <row r="271" spans="1:11" ht="13" x14ac:dyDescent="0.3">
      <c r="A271" s="14"/>
      <c r="B271" s="14"/>
      <c r="C271" s="14"/>
      <c r="D271" s="14"/>
      <c r="E271" s="14"/>
      <c r="F271" s="14"/>
      <c r="G271" s="14"/>
      <c r="H271" s="14"/>
      <c r="I271" s="14"/>
      <c r="J271" s="14"/>
      <c r="K271" s="14"/>
    </row>
    <row r="272" spans="1:11" ht="13" x14ac:dyDescent="0.3">
      <c r="A272" s="14"/>
      <c r="B272" s="14"/>
      <c r="C272" s="14"/>
      <c r="D272" s="14"/>
      <c r="E272" s="14"/>
      <c r="F272" s="14"/>
      <c r="G272" s="14"/>
      <c r="H272" s="14"/>
      <c r="I272" s="14"/>
      <c r="J272" s="14"/>
      <c r="K272" s="14"/>
    </row>
    <row r="273" spans="1:11" ht="13" x14ac:dyDescent="0.3">
      <c r="A273" s="14"/>
      <c r="B273" s="14"/>
      <c r="C273" s="14"/>
      <c r="D273" s="14"/>
      <c r="E273" s="14"/>
      <c r="F273" s="14"/>
      <c r="G273" s="14"/>
      <c r="H273" s="14"/>
      <c r="I273" s="14"/>
      <c r="J273" s="14"/>
      <c r="K273" s="14"/>
    </row>
    <row r="274" spans="1:11" ht="13" x14ac:dyDescent="0.3">
      <c r="A274" s="14"/>
      <c r="B274" s="14"/>
      <c r="C274" s="14"/>
      <c r="D274" s="14"/>
      <c r="E274" s="14"/>
      <c r="F274" s="14"/>
      <c r="G274" s="14"/>
      <c r="H274" s="14"/>
      <c r="I274" s="14"/>
      <c r="J274" s="14"/>
      <c r="K274" s="14"/>
    </row>
    <row r="275" spans="1:11" ht="13" x14ac:dyDescent="0.3">
      <c r="A275" s="14"/>
      <c r="B275" s="14"/>
      <c r="C275" s="14"/>
      <c r="D275" s="14"/>
      <c r="E275" s="14"/>
      <c r="F275" s="14"/>
      <c r="G275" s="14"/>
      <c r="H275" s="14"/>
      <c r="I275" s="14"/>
      <c r="J275" s="14"/>
      <c r="K275" s="14"/>
    </row>
    <row r="276" spans="1:11" ht="13" x14ac:dyDescent="0.3">
      <c r="A276" s="14"/>
      <c r="B276" s="14"/>
      <c r="C276" s="14"/>
      <c r="D276" s="14"/>
      <c r="E276" s="14"/>
      <c r="F276" s="14"/>
      <c r="G276" s="14"/>
      <c r="H276" s="14"/>
      <c r="I276" s="14"/>
      <c r="J276" s="14"/>
      <c r="K276" s="14"/>
    </row>
    <row r="277" spans="1:11" ht="13" x14ac:dyDescent="0.3">
      <c r="A277" s="14"/>
      <c r="B277" s="14"/>
      <c r="C277" s="14"/>
      <c r="D277" s="14"/>
      <c r="E277" s="14"/>
      <c r="F277" s="14"/>
      <c r="G277" s="14"/>
      <c r="H277" s="14"/>
      <c r="I277" s="14"/>
      <c r="J277" s="14"/>
      <c r="K277" s="14"/>
    </row>
    <row r="278" spans="1:11" ht="13" x14ac:dyDescent="0.3">
      <c r="A278" s="14"/>
      <c r="B278" s="14"/>
      <c r="C278" s="14"/>
      <c r="D278" s="14"/>
      <c r="E278" s="14"/>
      <c r="F278" s="14"/>
      <c r="G278" s="14"/>
      <c r="H278" s="14"/>
      <c r="I278" s="14"/>
      <c r="J278" s="14"/>
      <c r="K278" s="14"/>
    </row>
    <row r="279" spans="1:11" ht="13" x14ac:dyDescent="0.3">
      <c r="A279" s="14"/>
      <c r="B279" s="14"/>
      <c r="C279" s="14"/>
      <c r="D279" s="14"/>
      <c r="E279" s="14"/>
      <c r="F279" s="14"/>
      <c r="G279" s="14"/>
      <c r="H279" s="14"/>
      <c r="I279" s="14"/>
      <c r="J279" s="14"/>
      <c r="K279" s="14"/>
    </row>
    <row r="280" spans="1:11" ht="13" x14ac:dyDescent="0.3">
      <c r="A280" s="14"/>
      <c r="B280" s="14"/>
      <c r="C280" s="14"/>
      <c r="D280" s="14"/>
      <c r="E280" s="14"/>
      <c r="F280" s="14"/>
      <c r="G280" s="14"/>
      <c r="H280" s="14"/>
      <c r="I280" s="14"/>
      <c r="J280" s="14"/>
      <c r="K280" s="14"/>
    </row>
    <row r="281" spans="1:11" ht="13" x14ac:dyDescent="0.3">
      <c r="A281" s="14"/>
      <c r="B281" s="14"/>
      <c r="C281" s="14"/>
      <c r="D281" s="14"/>
      <c r="E281" s="14"/>
      <c r="F281" s="14"/>
      <c r="G281" s="14"/>
      <c r="H281" s="14"/>
      <c r="I281" s="14"/>
      <c r="J281" s="14"/>
      <c r="K281" s="14"/>
    </row>
    <row r="282" spans="1:11" ht="13" x14ac:dyDescent="0.3">
      <c r="A282" s="14"/>
      <c r="B282" s="14"/>
      <c r="C282" s="14"/>
      <c r="D282" s="14"/>
      <c r="E282" s="14"/>
      <c r="F282" s="14"/>
      <c r="G282" s="14"/>
      <c r="H282" s="14"/>
      <c r="I282" s="14"/>
      <c r="J282" s="14"/>
      <c r="K282" s="14"/>
    </row>
    <row r="283" spans="1:11" ht="13" x14ac:dyDescent="0.3">
      <c r="A283" s="14"/>
      <c r="B283" s="14"/>
      <c r="C283" s="14"/>
      <c r="D283" s="14"/>
      <c r="E283" s="14"/>
      <c r="F283" s="14"/>
      <c r="G283" s="14"/>
      <c r="H283" s="14"/>
      <c r="I283" s="14"/>
      <c r="J283" s="14"/>
      <c r="K283" s="14"/>
    </row>
    <row r="284" spans="1:11" ht="13" x14ac:dyDescent="0.3">
      <c r="A284" s="14"/>
      <c r="B284" s="14"/>
      <c r="C284" s="14"/>
      <c r="D284" s="14"/>
      <c r="E284" s="14"/>
      <c r="F284" s="14"/>
      <c r="G284" s="14"/>
      <c r="H284" s="14"/>
      <c r="I284" s="14"/>
      <c r="J284" s="14"/>
      <c r="K284" s="14"/>
    </row>
    <row r="285" spans="1:11" ht="13" x14ac:dyDescent="0.3">
      <c r="A285" s="14"/>
      <c r="B285" s="14"/>
      <c r="C285" s="14"/>
      <c r="D285" s="14"/>
      <c r="E285" s="14"/>
      <c r="F285" s="14"/>
      <c r="G285" s="14"/>
      <c r="H285" s="14"/>
      <c r="I285" s="14"/>
      <c r="J285" s="14"/>
      <c r="K285" s="14"/>
    </row>
    <row r="286" spans="1:11" ht="13" x14ac:dyDescent="0.3">
      <c r="A286" s="14"/>
      <c r="B286" s="14"/>
      <c r="C286" s="14"/>
      <c r="D286" s="14"/>
      <c r="E286" s="14"/>
      <c r="F286" s="14"/>
      <c r="G286" s="14"/>
      <c r="H286" s="14"/>
      <c r="I286" s="14"/>
      <c r="J286" s="14"/>
      <c r="K286" s="14"/>
    </row>
    <row r="287" spans="1:11" ht="13" x14ac:dyDescent="0.3">
      <c r="A287" s="14"/>
      <c r="B287" s="14"/>
      <c r="C287" s="14"/>
      <c r="D287" s="14"/>
      <c r="E287" s="14"/>
      <c r="F287" s="14"/>
      <c r="G287" s="14"/>
      <c r="H287" s="14"/>
      <c r="I287" s="14"/>
      <c r="J287" s="14"/>
      <c r="K287" s="14"/>
    </row>
    <row r="288" spans="1:11" ht="13" x14ac:dyDescent="0.3">
      <c r="A288" s="14"/>
      <c r="B288" s="14"/>
      <c r="C288" s="14"/>
      <c r="D288" s="14"/>
      <c r="E288" s="14"/>
      <c r="F288" s="14"/>
      <c r="G288" s="14"/>
      <c r="H288" s="14"/>
      <c r="I288" s="14"/>
      <c r="J288" s="14"/>
      <c r="K288" s="14"/>
    </row>
    <row r="289" spans="1:11" ht="13" x14ac:dyDescent="0.3">
      <c r="A289" s="14"/>
      <c r="B289" s="14"/>
      <c r="C289" s="14"/>
      <c r="D289" s="14"/>
      <c r="E289" s="14"/>
      <c r="F289" s="14"/>
      <c r="G289" s="14"/>
      <c r="H289" s="14"/>
      <c r="I289" s="14"/>
      <c r="J289" s="14"/>
      <c r="K289" s="14"/>
    </row>
    <row r="290" spans="1:11" ht="13" x14ac:dyDescent="0.3">
      <c r="A290" s="14"/>
      <c r="B290" s="14"/>
      <c r="C290" s="14"/>
      <c r="D290" s="14"/>
      <c r="E290" s="14"/>
      <c r="F290" s="14"/>
      <c r="G290" s="14"/>
      <c r="H290" s="14"/>
      <c r="I290" s="14"/>
      <c r="J290" s="14"/>
      <c r="K290" s="14"/>
    </row>
    <row r="291" spans="1:11" ht="13" x14ac:dyDescent="0.3">
      <c r="A291" s="14"/>
      <c r="B291" s="14"/>
      <c r="C291" s="14"/>
      <c r="D291" s="14"/>
      <c r="E291" s="14"/>
      <c r="F291" s="14"/>
      <c r="G291" s="14"/>
      <c r="H291" s="14"/>
      <c r="I291" s="14"/>
      <c r="J291" s="14"/>
      <c r="K291" s="14"/>
    </row>
    <row r="292" spans="1:11" ht="13" x14ac:dyDescent="0.3">
      <c r="A292" s="14"/>
      <c r="B292" s="14"/>
      <c r="C292" s="14"/>
      <c r="D292" s="14"/>
      <c r="E292" s="14"/>
      <c r="F292" s="14"/>
      <c r="G292" s="14"/>
      <c r="H292" s="14"/>
      <c r="I292" s="14"/>
      <c r="J292" s="14"/>
      <c r="K292" s="14"/>
    </row>
    <row r="293" spans="1:11" ht="13" x14ac:dyDescent="0.3">
      <c r="A293" s="14"/>
      <c r="B293" s="14"/>
      <c r="C293" s="14"/>
      <c r="D293" s="14"/>
      <c r="E293" s="14"/>
      <c r="F293" s="14"/>
      <c r="G293" s="14"/>
      <c r="H293" s="14"/>
      <c r="I293" s="14"/>
      <c r="J293" s="14"/>
      <c r="K293" s="14"/>
    </row>
    <row r="294" spans="1:11" ht="13" x14ac:dyDescent="0.3">
      <c r="A294" s="14"/>
      <c r="B294" s="14"/>
      <c r="C294" s="14"/>
      <c r="D294" s="14"/>
      <c r="E294" s="14"/>
      <c r="F294" s="14"/>
      <c r="G294" s="14"/>
      <c r="H294" s="14"/>
      <c r="I294" s="14"/>
      <c r="J294" s="14"/>
      <c r="K294" s="14"/>
    </row>
    <row r="295" spans="1:11" ht="13" x14ac:dyDescent="0.3">
      <c r="A295" s="14"/>
      <c r="B295" s="14"/>
      <c r="C295" s="14"/>
      <c r="D295" s="14"/>
      <c r="E295" s="14"/>
      <c r="F295" s="14"/>
      <c r="G295" s="14"/>
      <c r="H295" s="14"/>
      <c r="I295" s="14"/>
      <c r="J295" s="14"/>
      <c r="K295" s="14"/>
    </row>
    <row r="296" spans="1:11" ht="13" x14ac:dyDescent="0.3">
      <c r="A296" s="14"/>
      <c r="B296" s="14"/>
      <c r="C296" s="14"/>
      <c r="D296" s="14"/>
      <c r="E296" s="14"/>
      <c r="F296" s="14"/>
      <c r="G296" s="14"/>
      <c r="H296" s="14"/>
      <c r="I296" s="14"/>
      <c r="J296" s="14"/>
      <c r="K296" s="14"/>
    </row>
    <row r="297" spans="1:11" ht="13" x14ac:dyDescent="0.3">
      <c r="A297" s="14"/>
      <c r="B297" s="14"/>
      <c r="C297" s="14"/>
      <c r="D297" s="14"/>
      <c r="E297" s="14"/>
      <c r="F297" s="14"/>
      <c r="G297" s="14"/>
      <c r="H297" s="14"/>
      <c r="I297" s="14"/>
      <c r="J297" s="14"/>
      <c r="K297" s="14"/>
    </row>
    <row r="298" spans="1:11" ht="13" x14ac:dyDescent="0.3">
      <c r="A298" s="14"/>
      <c r="B298" s="14"/>
      <c r="C298" s="14"/>
      <c r="D298" s="14"/>
      <c r="E298" s="14"/>
      <c r="F298" s="14"/>
      <c r="G298" s="14"/>
      <c r="H298" s="14"/>
      <c r="I298" s="14"/>
      <c r="J298" s="14"/>
      <c r="K298" s="14"/>
    </row>
    <row r="299" spans="1:11" ht="13" x14ac:dyDescent="0.3">
      <c r="A299" s="14"/>
      <c r="B299" s="14"/>
      <c r="C299" s="14"/>
      <c r="D299" s="14"/>
      <c r="E299" s="14"/>
      <c r="F299" s="14"/>
      <c r="G299" s="14"/>
      <c r="H299" s="14"/>
      <c r="I299" s="14"/>
      <c r="J299" s="14"/>
      <c r="K299" s="14"/>
    </row>
    <row r="300" spans="1:11" ht="13" x14ac:dyDescent="0.3">
      <c r="A300" s="14"/>
      <c r="B300" s="14"/>
      <c r="C300" s="14"/>
      <c r="D300" s="14"/>
      <c r="E300" s="14"/>
      <c r="F300" s="14"/>
      <c r="G300" s="14"/>
      <c r="H300" s="14"/>
      <c r="I300" s="14"/>
      <c r="J300" s="14"/>
      <c r="K300" s="14"/>
    </row>
    <row r="301" spans="1:11" ht="13" x14ac:dyDescent="0.3">
      <c r="A301" s="14"/>
      <c r="B301" s="14"/>
      <c r="C301" s="14"/>
      <c r="D301" s="14"/>
      <c r="E301" s="14"/>
      <c r="F301" s="14"/>
      <c r="G301" s="14"/>
      <c r="H301" s="14"/>
      <c r="I301" s="14"/>
      <c r="J301" s="14"/>
      <c r="K301" s="14"/>
    </row>
    <row r="302" spans="1:11" ht="13" x14ac:dyDescent="0.3">
      <c r="A302" s="14"/>
      <c r="B302" s="14"/>
      <c r="C302" s="14"/>
      <c r="D302" s="14"/>
      <c r="E302" s="14"/>
      <c r="F302" s="14"/>
      <c r="G302" s="14"/>
      <c r="H302" s="14"/>
    </row>
    <row r="303" spans="1:11" ht="13" x14ac:dyDescent="0.3">
      <c r="A303" s="14"/>
      <c r="B303" s="14"/>
      <c r="C303" s="14"/>
      <c r="D303" s="14"/>
      <c r="E303" s="14"/>
      <c r="F303" s="14"/>
      <c r="G303" s="14"/>
      <c r="H303" s="14"/>
    </row>
  </sheetData>
  <sheetProtection algorithmName="SHA-512" hashValue="QS/FQ2wH5/JRQUctq0DDVparJIigvE5oYLB60FKuFVBW58s+4MD7uxgmCUvFiYTNfp12zbgaga0qOuS5AQsgtQ==" saltValue="O93S6oWdVFs9hpnY8gwBxA==" spinCount="100000" sheet="1" objects="1" scenarios="1"/>
  <phoneticPr fontId="6" type="noConversion"/>
  <conditionalFormatting sqref="H91">
    <cfRule type="cellIs" dxfId="2" priority="1" stopIfTrue="1" operator="equal">
      <formula>$I$84</formula>
    </cfRule>
    <cfRule type="cellIs" dxfId="1" priority="2" stopIfTrue="1" operator="equal">
      <formula>$I$85</formula>
    </cfRule>
    <cfRule type="cellIs" dxfId="0" priority="3" stopIfTrue="1" operator="equal">
      <formula>$I$86</formula>
    </cfRule>
  </conditionalFormatting>
  <hyperlinks>
    <hyperlink ref="D108" r:id="rId1" xr:uid="{00000000-0004-0000-0000-000000000000}"/>
  </hyperlinks>
  <pageMargins left="0.75" right="0.75" top="1" bottom="1" header="0.5" footer="0.5"/>
  <pageSetup scale="60" orientation="portrait" blackAndWhite="1" r:id="rId2"/>
  <headerFooter alignWithMargins="0">
    <oddHeader xml:space="preserve">&amp;L                                                                        </oddHeader>
    <oddFooter>&amp;CPage -&amp;P-&amp;R</oddFooter>
  </headerFooter>
  <rowBreaks count="1" manualBreakCount="1">
    <brk id="51"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58BFFE73-840D-4D99-A5C0-B24DEBAD9135}"/>
</file>

<file path=customXml/itemProps2.xml><?xml version="1.0" encoding="utf-8"?>
<ds:datastoreItem xmlns:ds="http://schemas.openxmlformats.org/officeDocument/2006/customXml" ds:itemID="{141CF5F0-9782-421E-910C-6AEF8EE19DE9}"/>
</file>

<file path=customXml/itemProps3.xml><?xml version="1.0" encoding="utf-8"?>
<ds:datastoreItem xmlns:ds="http://schemas.openxmlformats.org/officeDocument/2006/customXml" ds:itemID="{10325B51-722D-4453-BF78-A12D4683D514}"/>
</file>

<file path=customXml/itemProps4.xml><?xml version="1.0" encoding="utf-8"?>
<ds:datastoreItem xmlns:ds="http://schemas.openxmlformats.org/officeDocument/2006/customXml" ds:itemID="{8B349E0E-D02F-4D94-B1D6-3D6B673F5915}"/>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SCANOL</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Scanol</dc:title>
  <dc:subject>Bear2000</dc:subject>
  <dc:creator>Limestone Technologies</dc:creator>
  <cp:lastModifiedBy>Molenhuis, John (OMAFA)</cp:lastModifiedBy>
  <cp:lastPrinted>2000-12-29T20:10:57Z</cp:lastPrinted>
  <dcterms:created xsi:type="dcterms:W3CDTF">2000-03-02T00:26:31Z</dcterms:created>
  <dcterms:modified xsi:type="dcterms:W3CDTF">2025-11-19T21:05:19Z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2021-08-17T19:33:52Z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12dbe8cb-9a82-4251-bf34-d592432e68ff</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