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5120" windowHeight="8070" activeTab="0"/>
  </bookViews>
  <sheets>
    <sheet name="SWCOR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a">#REF!</definedName>
    <definedName name="\e">#REF!</definedName>
    <definedName name="\h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z">#REF!</definedName>
    <definedName name="_Key1" hidden="1">#REF!</definedName>
    <definedName name="_Order1" hidden="1">255</definedName>
    <definedName name="_Parse_In" hidden="1">'SWCORN'!$H$143:$H$145</definedName>
    <definedName name="_Parse_In" hidden="1">#REF!</definedName>
    <definedName name="_Parse_Out" hidden="1">'SWCORN'!$H$147</definedName>
    <definedName name="_Parse_Out" hidden="1">#REF!</definedName>
    <definedName name="_Regression_Int" hidden="1">1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ALLO">#REF!</definedName>
    <definedName name="ALLOAC">#REF!</definedName>
    <definedName name="ALLOAC2">#REF!</definedName>
    <definedName name="ALLOAC3">#REF!</definedName>
    <definedName name="ALLOAC4">#REF!</definedName>
    <definedName name="ALLOAC5">#REF!</definedName>
    <definedName name="ALLOAC6">#REF!</definedName>
    <definedName name="ALLOAC7">#REF!</definedName>
    <definedName name="ALLOAC8">#REF!</definedName>
    <definedName name="ALLOACEND">#REF!</definedName>
    <definedName name="ALLOALL">#REF!</definedName>
    <definedName name="ALLOENTER">#REF!</definedName>
    <definedName name="ALLOREC">#REF!</definedName>
    <definedName name="ALLOTOTAL">#REF!</definedName>
    <definedName name="ALTERNATE">#REF!</definedName>
    <definedName name="AMARK">#REF!</definedName>
    <definedName name="ANALNAME">#REF!</definedName>
    <definedName name="ASPAR1">'[5]ASPAR'!$A$1:$K$159</definedName>
    <definedName name="ASSIGN">#REF!</definedName>
    <definedName name="BACK">#REF!</definedName>
    <definedName name="BARLEY1">#REF!</definedName>
    <definedName name="BEARDRV">#REF!</definedName>
    <definedName name="BRINGIN">#REF!</definedName>
    <definedName name="BRINGINALL">#REF!</definedName>
    <definedName name="CATTLE">#REF!</definedName>
    <definedName name="CHOICES">#REF!</definedName>
    <definedName name="COLE">#REF!</definedName>
    <definedName name="CORN1">'[3]CORN'!$A$1:$K$159</definedName>
    <definedName name="CORNER">#REF!</definedName>
    <definedName name="CORR">#REF!</definedName>
    <definedName name="COUNTER">#REF!</definedName>
    <definedName name="COUNTER2">#REF!</definedName>
    <definedName name="CRIT">#REF!</definedName>
    <definedName name="Criteria_MI">#REF!</definedName>
    <definedName name="CROPS">#REF!</definedName>
    <definedName name="Database_MI">#REF!</definedName>
    <definedName name="DCHECK">#REF!</definedName>
    <definedName name="DCNT">#REF!</definedName>
    <definedName name="DEFAULT">#REF!</definedName>
    <definedName name="DEPT1">#REF!</definedName>
    <definedName name="DGOAT1">'[10]DGOAT'!$A$1:$K$300</definedName>
    <definedName name="DHEIFER1">'[12]DHEIFER'!$A$1:$K$200</definedName>
    <definedName name="DRIVES">#REF!</definedName>
    <definedName name="DUD7">#REF!</definedName>
    <definedName name="E_1">#REF!</definedName>
    <definedName name="ECHECK">#REF!</definedName>
    <definedName name="ENT1">#REF!</definedName>
    <definedName name="ENT2">#REF!</definedName>
    <definedName name="ENT3">#REF!</definedName>
    <definedName name="ENT4">#REF!</definedName>
    <definedName name="ENT5">#REF!</definedName>
    <definedName name="ENT6">#REF!</definedName>
    <definedName name="ENT7">#REF!</definedName>
    <definedName name="ENT8">#REF!</definedName>
    <definedName name="ENTERPRISE">#REF!</definedName>
    <definedName name="ENTNAME">#REF!</definedName>
    <definedName name="ENTNO">#REF!</definedName>
    <definedName name="ENTS">#REF!</definedName>
    <definedName name="ERASE">#REF!</definedName>
    <definedName name="ERRMSG">#REF!</definedName>
    <definedName name="ESCROUTE">#REF!</definedName>
    <definedName name="EVERGREEN">'[7]turkey'!$AC$6630:$AE$6634</definedName>
    <definedName name="EXCLUDE">#REF!</definedName>
    <definedName name="EXPORT">#REF!</definedName>
    <definedName name="FARM">#REF!</definedName>
    <definedName name="FARMNAME">#REF!</definedName>
    <definedName name="FIELD">#REF!</definedName>
    <definedName name="FILE_EXT">#REF!</definedName>
    <definedName name="FILE_PATH">#REF!</definedName>
    <definedName name="FILEOPS">#REF!</definedName>
    <definedName name="FNAME">#REF!</definedName>
    <definedName name="FORAGE">#REF!</definedName>
    <definedName name="FORMAT">#REF!</definedName>
    <definedName name="FRUIT">#REF!</definedName>
    <definedName name="GAFFE10">#REF!</definedName>
    <definedName name="GAFFE2">#REF!</definedName>
    <definedName name="GAFFE3">#REF!</definedName>
    <definedName name="GAFFE4">#REF!</definedName>
    <definedName name="GAFFE5">#REF!</definedName>
    <definedName name="GAFFE6">#REF!</definedName>
    <definedName name="GAFFE7">#REF!</definedName>
    <definedName name="GAFFE8">#REF!</definedName>
    <definedName name="GAFFE9">#REF!</definedName>
    <definedName name="GFRUIT">#REF!</definedName>
    <definedName name="GOATS">#REF!</definedName>
    <definedName name="GRAIN">#REF!</definedName>
    <definedName name="GRAPES">'[7]turkey'!$AC$6593:$AG$6597</definedName>
    <definedName name="HAY1">#REF!</definedName>
    <definedName name="HELP">#REF!</definedName>
    <definedName name="HORT">#REF!</definedName>
    <definedName name="ID">#REF!</definedName>
    <definedName name="IFF">#REF!</definedName>
    <definedName name="INPUT">#REF!</definedName>
    <definedName name="JUNK">#REF!</definedName>
    <definedName name="KEY">#REF!</definedName>
    <definedName name="KEYLIST">#REF!</definedName>
    <definedName name="LASTCELL">#REF!</definedName>
    <definedName name="LAYER1">#REF!</definedName>
    <definedName name="LCNT">#REF!</definedName>
    <definedName name="LCOUNT">#REF!</definedName>
    <definedName name="LINE">#REF!</definedName>
    <definedName name="LININ">#REF!</definedName>
    <definedName name="LIVESTOCK">#REF!</definedName>
    <definedName name="LOAN1">#REF!</definedName>
    <definedName name="LOGO">#REF!</definedName>
    <definedName name="MACROBLOCK">#REF!</definedName>
    <definedName name="MARKER1">#REF!</definedName>
    <definedName name="MENUBLOCK">#REF!</definedName>
    <definedName name="MESSAGE">#REF!</definedName>
    <definedName name="MGOAT1">#REF!</definedName>
    <definedName name="NAME">#REF!</definedName>
    <definedName name="NO">#REF!</definedName>
    <definedName name="NOREC">#REF!</definedName>
    <definedName name="NUMBER">#REF!</definedName>
    <definedName name="NUR">'[7]turkey'!$AC$6564:$AG$6571</definedName>
    <definedName name="OATS1">#REF!</definedName>
    <definedName name="OILS">#REF!</definedName>
    <definedName name="OTHER">#REF!</definedName>
    <definedName name="OTHERLVSTK">#REF!</definedName>
    <definedName name="OTHERVEG">#REF!</definedName>
    <definedName name="OTHRFRT">#REF!</definedName>
    <definedName name="P_ALLO">#REF!</definedName>
    <definedName name="P_DEP_N">#REF!</definedName>
    <definedName name="P_LOANS">#REF!</definedName>
    <definedName name="P_RANGE">#REF!</definedName>
    <definedName name="P_TRANS">#REF!</definedName>
    <definedName name="P_WFC">#REF!</definedName>
    <definedName name="P_WFS">#REF!</definedName>
    <definedName name="PASSWORD">#REF!</definedName>
    <definedName name="PASTUR1">#REF!</definedName>
    <definedName name="PCHECK">#REF!</definedName>
    <definedName name="PEA1">'[13]PEA'!$A$1:$K$159</definedName>
    <definedName name="PEABEAN">#REF!</definedName>
    <definedName name="PERCENT">#REF!</definedName>
    <definedName name="PIGS">#REF!</definedName>
    <definedName name="POTATO1">'[14]POTATO'!$A$1:$K$166</definedName>
    <definedName name="POULTRY">#REF!</definedName>
    <definedName name="PREPARE">#REF!</definedName>
    <definedName name="PREPDATE">#REF!</definedName>
    <definedName name="PRINT">#REF!</definedName>
    <definedName name="_xlnm.Print_Area" localSheetId="0">'SWCORN'!$A$1:$H$124</definedName>
    <definedName name="_xlnm.Print_Area">'SWCORN'!$A$1:$H$108</definedName>
    <definedName name="Print_Area_MI">'SWCORN'!$A$1:$H$108</definedName>
    <definedName name="PRINT_AREA_MI">#REF!</definedName>
    <definedName name="PRINTALL">#REF!</definedName>
    <definedName name="PRINTENT">#REF!</definedName>
    <definedName name="PRINTMENU">#REF!</definedName>
    <definedName name="PRTCHOICE">#REF!</definedName>
    <definedName name="PULLET1">#REF!</definedName>
    <definedName name="PULSES">#REF!</definedName>
    <definedName name="QCHOICE">#REF!</definedName>
    <definedName name="RECORD">#REF!</definedName>
    <definedName name="RET">#REF!</definedName>
    <definedName name="ROOT">#REF!</definedName>
    <definedName name="SAVE">#REF!</definedName>
    <definedName name="SAVE1">#REF!</definedName>
    <definedName name="SAVE2">#REF!</definedName>
    <definedName name="SCHOICE">#REF!</definedName>
    <definedName name="SELECT">#REF!</definedName>
    <definedName name="SELECTERR">#REF!</definedName>
    <definedName name="SELECTMSG">#REF!</definedName>
    <definedName name="SEND">#REF!</definedName>
    <definedName name="SEND2">#REF!</definedName>
    <definedName name="SHADE">'[7]turkey'!$AC$6636:$AD$6640</definedName>
    <definedName name="SHEEP">#REF!</definedName>
    <definedName name="SHRUB">'[7]turkey'!$AC$6642:$AD$6646</definedName>
    <definedName name="SILAGE1">'[6]SILAGE'!$A$1:$K$159</definedName>
    <definedName name="STYPE">#REF!</definedName>
    <definedName name="SUBR">#REF!</definedName>
    <definedName name="SWHEAT1">#REF!</definedName>
    <definedName name="TCOUNT">#REF!</definedName>
    <definedName name="TFRUIT">#REF!</definedName>
    <definedName name="TIMES">#REF!</definedName>
    <definedName name="TMARK">#REF!</definedName>
    <definedName name="TO_CELL">#REF!</definedName>
    <definedName name="TRANS">#REF!</definedName>
    <definedName name="TRANSF">#REF!</definedName>
    <definedName name="TREC">#REF!</definedName>
    <definedName name="TURKEY1">'[7]turkey'!$A$1:$K$300</definedName>
    <definedName name="UPDATE">#REF!</definedName>
    <definedName name="VEAL1">#REF!</definedName>
    <definedName name="VEG">#REF!</definedName>
    <definedName name="VINE">#REF!</definedName>
    <definedName name="WFARMC">#REF!</definedName>
    <definedName name="WFARMS">#REF!</definedName>
    <definedName name="WMARK">#REF!</definedName>
    <definedName name="WORKDRV">#REF!</definedName>
    <definedName name="WORKNOS">#REF!</definedName>
    <definedName name="WORKNUMS">#REF!</definedName>
    <definedName name="WORKON">#REF!</definedName>
    <definedName name="WWHEAT1">#REF!</definedName>
    <definedName name="XB1">#REF!</definedName>
    <definedName name="XB10">#REF!</definedName>
    <definedName name="XB11">#REF!</definedName>
    <definedName name="XB12">#REF!</definedName>
    <definedName name="XB2">#REF!</definedName>
    <definedName name="XB3">#REF!</definedName>
    <definedName name="XB4">#REF!</definedName>
    <definedName name="XB5">#REF!</definedName>
    <definedName name="XB6">#REF!</definedName>
    <definedName name="XB7">#REF!</definedName>
    <definedName name="XB8">#REF!</definedName>
    <definedName name="XB9">#REF!</definedName>
    <definedName name="XBC1">#REF!</definedName>
    <definedName name="XBC10">#REF!</definedName>
    <definedName name="XBC11">#REF!</definedName>
    <definedName name="XBC12">#REF!</definedName>
    <definedName name="XBC2">#REF!</definedName>
    <definedName name="XBC3">#REF!</definedName>
    <definedName name="XBC4">#REF!</definedName>
    <definedName name="XBC5">#REF!</definedName>
    <definedName name="XBC6">#REF!</definedName>
    <definedName name="XBC7">#REF!</definedName>
    <definedName name="XBC8">#REF!</definedName>
    <definedName name="XBC9">#REF!</definedName>
    <definedName name="XCHOICE">#REF!</definedName>
    <definedName name="XDATA">#REF!</definedName>
    <definedName name="XNAME">#REF!</definedName>
    <definedName name="XSAVE">#REF!</definedName>
    <definedName name="XSAVE1">#REF!</definedName>
    <definedName name="XSAVE2">#REF!</definedName>
    <definedName name="YES">#REF!</definedName>
  </definedNames>
  <calcPr fullCalcOnLoad="1"/>
</workbook>
</file>

<file path=xl/sharedStrings.xml><?xml version="1.0" encoding="utf-8"?>
<sst xmlns="http://schemas.openxmlformats.org/spreadsheetml/2006/main" count="196" uniqueCount="148">
  <si>
    <t>Number of Acres =</t>
  </si>
  <si>
    <t>lbs</t>
  </si>
  <si>
    <t xml:space="preserve">  Optimistic</t>
  </si>
  <si>
    <t xml:space="preserve">  Expected</t>
  </si>
  <si>
    <t xml:space="preserve"> Pessimistic</t>
  </si>
  <si>
    <t xml:space="preserve">  Crop Insurance</t>
  </si>
  <si>
    <t xml:space="preserve">   C.I. Premium/ac:</t>
  </si>
  <si>
    <t xml:space="preserve">   Level of Coverage</t>
  </si>
  <si>
    <t xml:space="preserve">   Guaranteed Yield/ac.</t>
  </si>
  <si>
    <t xml:space="preserve">   Probability of a payout</t>
  </si>
  <si>
    <t xml:space="preserve">   Expected Payout/ac</t>
  </si>
  <si>
    <t xml:space="preserve"> Participate in CI? (y/n)</t>
  </si>
  <si>
    <t>Unit/Ac</t>
  </si>
  <si>
    <t>Number</t>
  </si>
  <si>
    <t>Cost/Unit</t>
  </si>
  <si>
    <t>$/Acre</t>
  </si>
  <si>
    <t>$/Year</t>
  </si>
  <si>
    <t>Expenses</t>
  </si>
  <si>
    <t>-------</t>
  </si>
  <si>
    <t xml:space="preserve">  ------</t>
  </si>
  <si>
    <t>-</t>
  </si>
  <si>
    <t xml:space="preserve">  -------</t>
  </si>
  <si>
    <t>Allo!C3..J14</t>
  </si>
  <si>
    <t>Variable Costs:</t>
  </si>
  <si>
    <t>no.</t>
  </si>
  <si>
    <t>kg</t>
  </si>
  <si>
    <t xml:space="preserve"> Fertilizer  </t>
  </si>
  <si>
    <t>Grip prob factor (component of grip)</t>
  </si>
  <si>
    <t>N/A</t>
  </si>
  <si>
    <t>C.I. prob factor (component of Crop Insurance)</t>
  </si>
  <si>
    <t xml:space="preserve"> Insecticides</t>
  </si>
  <si>
    <t xml:space="preserve"> Fungicides</t>
  </si>
  <si>
    <t xml:space="preserve"> Crop Insurance</t>
  </si>
  <si>
    <t>$</t>
  </si>
  <si>
    <t>Wfarm!L4</t>
  </si>
  <si>
    <t>Wfarm!L5</t>
  </si>
  <si>
    <t>Typical</t>
  </si>
  <si>
    <t>Wfarm!L6</t>
  </si>
  <si>
    <t xml:space="preserve"> $/Acre</t>
  </si>
  <si>
    <t>Wfarm!L7</t>
  </si>
  <si>
    <t>Wfarm!L8</t>
  </si>
  <si>
    <t xml:space="preserve"> Bldg. Repair &amp; Maint.</t>
  </si>
  <si>
    <t xml:space="preserve"> General Variable Costs</t>
  </si>
  <si>
    <t>Wfarm!L9</t>
  </si>
  <si>
    <t xml:space="preserve"> Interest on</t>
  </si>
  <si>
    <t>%int</t>
  </si>
  <si>
    <t xml:space="preserve"> Operating Capital</t>
  </si>
  <si>
    <t>Total Variable Costs</t>
  </si>
  <si>
    <t>Fixed Costs:</t>
  </si>
  <si>
    <t>Wfarm!K4</t>
  </si>
  <si>
    <t>Wfarm!K5</t>
  </si>
  <si>
    <t>Wfarm!K6</t>
  </si>
  <si>
    <t xml:space="preserve"> Long-term Leases</t>
  </si>
  <si>
    <t>Wfarm!K7</t>
  </si>
  <si>
    <t>Total Fixed Costs</t>
  </si>
  <si>
    <t>Revenues:</t>
  </si>
  <si>
    <t>Total Expected Revenues</t>
  </si>
  <si>
    <t xml:space="preserve">    less: Variable Costs</t>
  </si>
  <si>
    <t>Expected Operating Margin</t>
  </si>
  <si>
    <t xml:space="preserve">    less: Fixed Costs</t>
  </si>
  <si>
    <t>Expected Net Revenue</t>
  </si>
  <si>
    <t>Variable Costs</t>
  </si>
  <si>
    <t>Fixed Costs</t>
  </si>
  <si>
    <t>Total Costs</t>
  </si>
  <si>
    <t>Chance of at least breaking even          ==&gt;</t>
  </si>
  <si>
    <t>Chance of at least</t>
  </si>
  <si>
    <t>$/acre return  ==&gt;</t>
  </si>
  <si>
    <t>Coefficient of variation                  ==&gt;</t>
  </si>
  <si>
    <t>Returns $/acre</t>
  </si>
  <si>
    <t>Chances of at least</t>
  </si>
  <si>
    <t>this return per acre</t>
  </si>
  <si>
    <t xml:space="preserve">       17 %</t>
  </si>
  <si>
    <t xml:space="preserve">       33 %</t>
  </si>
  <si>
    <t xml:space="preserve">       50 %</t>
  </si>
  <si>
    <t xml:space="preserve">       67 %</t>
  </si>
  <si>
    <t xml:space="preserve">       83 %</t>
  </si>
  <si>
    <t>N</t>
  </si>
  <si>
    <t>P</t>
  </si>
  <si>
    <t>K</t>
  </si>
  <si>
    <t xml:space="preserve"> Custom Work</t>
  </si>
  <si>
    <t>Pesticide application</t>
  </si>
  <si>
    <t>Fertilizer application</t>
  </si>
  <si>
    <t xml:space="preserve"> Herbicides</t>
  </si>
  <si>
    <t>% of year used</t>
  </si>
  <si>
    <t xml:space="preserve"> Packaging</t>
  </si>
  <si>
    <t xml:space="preserve"> Crop Scouting</t>
  </si>
  <si>
    <t>Return Per Acre:</t>
  </si>
  <si>
    <t>Labour</t>
  </si>
  <si>
    <t>Machine operation</t>
  </si>
  <si>
    <t>Harvest, hand</t>
  </si>
  <si>
    <t>Planting, hand</t>
  </si>
  <si>
    <t>%</t>
  </si>
  <si>
    <t xml:space="preserve"> Marketing and Transportation (% of sales)</t>
  </si>
  <si>
    <t>Packing/Grading</t>
  </si>
  <si>
    <t xml:space="preserve"> Cover crop seed</t>
  </si>
  <si>
    <t>bu</t>
  </si>
  <si>
    <t xml:space="preserve"> Plastic mulch</t>
  </si>
  <si>
    <t>Mulch removal</t>
  </si>
  <si>
    <t>Mulch disposal</t>
  </si>
  <si>
    <t>hrs</t>
  </si>
  <si>
    <t>Other</t>
  </si>
  <si>
    <t xml:space="preserve"> Starter Solution</t>
  </si>
  <si>
    <t xml:space="preserve">Furadan </t>
  </si>
  <si>
    <t>times</t>
  </si>
  <si>
    <t>drip lines</t>
  </si>
  <si>
    <t xml:space="preserve"> Irrigation</t>
  </si>
  <si>
    <t>Yield - dozen/ac</t>
  </si>
  <si>
    <t>Price - $/dozen</t>
  </si>
  <si>
    <t>Production - dozen</t>
  </si>
  <si>
    <t>Seed</t>
  </si>
  <si>
    <t>Swcorn 1</t>
  </si>
  <si>
    <t>g</t>
  </si>
  <si>
    <t>Burndown</t>
  </si>
  <si>
    <t>Primextra Magnum</t>
  </si>
  <si>
    <t>Matador</t>
  </si>
  <si>
    <t>Tilt</t>
  </si>
  <si>
    <t>5 dozen mesh bags</t>
  </si>
  <si>
    <t xml:space="preserve"> Land Rent</t>
  </si>
  <si>
    <t>yes</t>
  </si>
  <si>
    <t>travelling gun</t>
  </si>
  <si>
    <t xml:space="preserve">    1 t =</t>
  </si>
  <si>
    <t>doz</t>
  </si>
  <si>
    <t xml:space="preserve">      Break-even $/dozen to cover:</t>
  </si>
  <si>
    <t>Numbers/text in blue can be edited/changed by individual producers</t>
  </si>
  <si>
    <t>Hand harvested</t>
  </si>
  <si>
    <t>Fresh market (wholesale) sweet corn enterprise budget</t>
  </si>
  <si>
    <r>
      <t xml:space="preserve"> Irrigation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</si>
  <si>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 Fuel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</si>
  <si>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 Mach. Repair &amp; Maint.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</si>
  <si>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 Depreciation</t>
    </r>
    <r>
      <rPr>
        <b/>
        <vertAlign val="superscript"/>
        <sz val="9"/>
        <color indexed="8"/>
        <rFont val="Arial"/>
        <family val="2"/>
      </rPr>
      <t>2</t>
    </r>
  </si>
  <si>
    <r>
      <t>Cold storage and packing equipment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</si>
  <si>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 General Fixed Costs</t>
    </r>
    <r>
      <rPr>
        <b/>
        <vertAlign val="superscript"/>
        <sz val="9"/>
        <color indexed="8"/>
        <rFont val="Arial"/>
        <family val="2"/>
      </rPr>
      <t>2</t>
    </r>
  </si>
  <si>
    <t>2. Field operations included in fuel, repairs, machine labour, depreciation, interest and general fixed:</t>
  </si>
  <si>
    <r>
      <t>Accent</t>
    </r>
    <r>
      <rPr>
        <b/>
        <vertAlign val="superscript"/>
        <sz val="9"/>
        <color indexed="12"/>
        <rFont val="Arial"/>
        <family val="2"/>
      </rPr>
      <t>4</t>
    </r>
    <r>
      <rPr>
        <b/>
        <sz val="9"/>
        <color indexed="12"/>
        <rFont val="Arial"/>
        <family val="0"/>
      </rPr>
      <t xml:space="preserve"> plus Merge</t>
    </r>
  </si>
  <si>
    <t>Tillage: Chisel plow, 2 field cultivations, 1 inter row cultivation</t>
  </si>
  <si>
    <t>Planting: Grain Corn planter, cover crop seed planter</t>
  </si>
  <si>
    <t>4. Accent is only registered for specific sweet corn varieties.  Please refer to OMAF Publication 75 for listing.</t>
  </si>
  <si>
    <r>
      <t xml:space="preserve"> Interest on investment</t>
    </r>
    <r>
      <rPr>
        <b/>
        <vertAlign val="superscript"/>
        <sz val="9"/>
        <color indexed="8"/>
        <rFont val="Arial"/>
        <family val="2"/>
      </rPr>
      <t>2</t>
    </r>
  </si>
  <si>
    <t>3. Includes depreciation, interest on investment and insurance for forced air cooling system</t>
  </si>
  <si>
    <t>1. Includes Variable (fuel, repairs, labour) and Fixed(depreciation, interest, insurance)  Irrigation Costs</t>
  </si>
  <si>
    <t>Revised: Mar '06</t>
  </si>
  <si>
    <t>For more information:</t>
  </si>
  <si>
    <t>OMAFRA Agricultural Information Centre</t>
  </si>
  <si>
    <t>ag.info@omafra.gov.on.ca</t>
  </si>
  <si>
    <t>1-877-424-1300</t>
  </si>
  <si>
    <t xml:space="preserve"> Land Costs</t>
  </si>
  <si>
    <t xml:space="preserve">The user of this worksheet assumes all responsibility. </t>
  </si>
  <si>
    <t>Harvest: Wagon, forklift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</si>
</sst>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0.0000_)"/>
    <numFmt numFmtId="167" formatCode="0.000_)"/>
    <numFmt numFmtId="168" formatCode="0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0.0%"/>
    <numFmt numFmtId="182" formatCode="&quot;$&quot;#,##0.0000_);\(&quot;$&quot;#,##0.0000\)"/>
    <numFmt numFmtId="183" formatCode="&quot;$&quot;#,##0.000_);\(&quot;$&quot;#,##0.000\)"/>
    <numFmt numFmtId="184" formatCode="0.0000"/>
    <numFmt numFmtId="185" formatCode="_(* #,##0_);_(* \(#,##0\);_(* &quot;-&quot;_);_(* @_)"/>
    <numFmt numFmtId="186" formatCode="_(&quot;$&quot;* #,##0_);_(&quot;$&quot;* \(#,##0\);_(&quot;$&quot;* &quot;-&quot;_);_(* @_)"/>
    <numFmt numFmtId="187" formatCode="_(* #,##0.00_);_(* \(#,##0.00\);_(* &quot;-&quot;_);_(* @_)"/>
    <numFmt numFmtId="188" formatCode="_(&quot;$&quot;* #,##0.00_);_(&quot;$&quot;* \(#,##0.00\);_(&quot;$&quot;* &quot;-&quot;_);_(* 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sz val="9"/>
      <name val="Courier New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indexed="12"/>
      <name val="Arial"/>
      <family val="2"/>
    </font>
    <font>
      <b/>
      <sz val="8"/>
      <color indexed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Alignment="1">
      <alignment/>
    </xf>
    <xf numFmtId="168" fontId="2" fillId="0" borderId="0" xfId="0" applyNumberFormat="1" applyAlignment="1">
      <alignment/>
    </xf>
    <xf numFmtId="164" fontId="3" fillId="2" borderId="4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7" fontId="3" fillId="2" borderId="5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left"/>
      <protection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/>
    </xf>
    <xf numFmtId="9" fontId="4" fillId="3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65" fontId="3" fillId="2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center"/>
      <protection/>
    </xf>
    <xf numFmtId="10" fontId="3" fillId="2" borderId="0" xfId="0" applyNumberFormat="1" applyFont="1" applyFill="1" applyBorder="1" applyAlignment="1" applyProtection="1">
      <alignment horizontal="center"/>
      <protection/>
    </xf>
    <xf numFmtId="7" fontId="3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68" fontId="3" fillId="2" borderId="0" xfId="0" applyNumberFormat="1" applyFont="1" applyFill="1" applyBorder="1" applyAlignment="1" applyProtection="1">
      <alignment horizontal="center"/>
      <protection/>
    </xf>
    <xf numFmtId="168" fontId="3" fillId="2" borderId="5" xfId="0" applyNumberFormat="1" applyFont="1" applyFill="1" applyBorder="1" applyAlignment="1" applyProtection="1">
      <alignment horizontal="center"/>
      <protection/>
    </xf>
    <xf numFmtId="167" fontId="4" fillId="3" borderId="6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Alignment="1">
      <alignment/>
    </xf>
    <xf numFmtId="9" fontId="3" fillId="2" borderId="0" xfId="0" applyNumberFormat="1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Alignment="1">
      <alignment/>
    </xf>
    <xf numFmtId="0" fontId="5" fillId="0" borderId="0" xfId="0" applyFont="1" applyAlignment="1">
      <alignment/>
    </xf>
    <xf numFmtId="0" fontId="3" fillId="4" borderId="7" xfId="0" applyFont="1" applyFill="1" applyBorder="1" applyAlignment="1" applyProtection="1">
      <alignment horizontal="fill"/>
      <protection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fill"/>
      <protection/>
    </xf>
    <xf numFmtId="0" fontId="3" fillId="4" borderId="0" xfId="0" applyFont="1" applyFill="1" applyBorder="1" applyAlignment="1">
      <alignment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 horizontal="right"/>
    </xf>
    <xf numFmtId="0" fontId="4" fillId="6" borderId="9" xfId="0" applyFont="1" applyFill="1" applyBorder="1" applyAlignment="1" applyProtection="1">
      <alignment/>
      <protection locked="0"/>
    </xf>
    <xf numFmtId="0" fontId="4" fillId="6" borderId="10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165" fontId="4" fillId="5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9" fontId="3" fillId="2" borderId="2" xfId="0" applyNumberFormat="1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4" borderId="7" xfId="0" applyFont="1" applyFill="1" applyBorder="1" applyAlignment="1" applyProtection="1">
      <alignment horizontal="fill"/>
      <protection/>
    </xf>
    <xf numFmtId="0" fontId="4" fillId="2" borderId="4" xfId="0" applyFont="1" applyFill="1" applyBorder="1" applyAlignment="1">
      <alignment/>
    </xf>
    <xf numFmtId="0" fontId="4" fillId="6" borderId="7" xfId="0" applyFont="1" applyFill="1" applyBorder="1" applyAlignment="1" applyProtection="1">
      <alignment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168" fontId="4" fillId="3" borderId="9" xfId="0" applyNumberFormat="1" applyFont="1" applyFill="1" applyBorder="1" applyAlignment="1" applyProtection="1">
      <alignment horizontal="center"/>
      <protection locked="0"/>
    </xf>
    <xf numFmtId="181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/>
    </xf>
    <xf numFmtId="0" fontId="3" fillId="2" borderId="4" xfId="0" applyFont="1" applyFill="1" applyBorder="1" applyAlignment="1" applyProtection="1" quotePrefix="1">
      <alignment/>
      <protection/>
    </xf>
    <xf numFmtId="0" fontId="2" fillId="0" borderId="1" xfId="0" applyBorder="1" applyAlignment="1">
      <alignment/>
    </xf>
    <xf numFmtId="0" fontId="3" fillId="4" borderId="3" xfId="0" applyFont="1" applyFill="1" applyBorder="1" applyAlignment="1" applyProtection="1">
      <alignment horizontal="fill"/>
      <protection/>
    </xf>
    <xf numFmtId="0" fontId="3" fillId="4" borderId="4" xfId="0" applyFont="1" applyFill="1" applyBorder="1" applyAlignment="1" quotePrefix="1">
      <alignment horizontal="left"/>
    </xf>
    <xf numFmtId="0" fontId="3" fillId="4" borderId="4" xfId="0" applyFont="1" applyFill="1" applyBorder="1" applyAlignment="1" quotePrefix="1">
      <alignment horizontal="center"/>
    </xf>
    <xf numFmtId="0" fontId="3" fillId="4" borderId="5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0" fillId="4" borderId="4" xfId="0" applyFont="1" applyFill="1" applyBorder="1" applyAlignment="1" applyProtection="1" quotePrefix="1">
      <alignment horizontal="center"/>
      <protection/>
    </xf>
    <xf numFmtId="9" fontId="3" fillId="4" borderId="0" xfId="0" applyNumberFormat="1" applyFont="1" applyFill="1" applyBorder="1" applyAlignment="1" applyProtection="1">
      <alignment/>
      <protection/>
    </xf>
    <xf numFmtId="0" fontId="2" fillId="0" borderId="4" xfId="0" applyBorder="1" applyAlignment="1">
      <alignment/>
    </xf>
    <xf numFmtId="0" fontId="11" fillId="4" borderId="4" xfId="20" applyFill="1" applyBorder="1" applyAlignment="1" applyProtection="1">
      <alignment horizontal="center"/>
      <protection/>
    </xf>
    <xf numFmtId="0" fontId="10" fillId="4" borderId="4" xfId="0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9" fontId="3" fillId="4" borderId="8" xfId="0" applyNumberFormat="1" applyFont="1" applyFill="1" applyBorder="1" applyAlignment="1" applyProtection="1">
      <alignment/>
      <protection/>
    </xf>
    <xf numFmtId="168" fontId="3" fillId="4" borderId="8" xfId="0" applyNumberFormat="1" applyFont="1" applyFill="1" applyBorder="1" applyAlignment="1" applyProtection="1">
      <alignment/>
      <protection/>
    </xf>
    <xf numFmtId="168" fontId="3" fillId="4" borderId="12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1466850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28" t="17716" r="5128" b="29527"/>
        <a:stretch>
          <a:fillRect/>
        </a:stretch>
      </xdr:blipFill>
      <xdr:spPr>
        <a:xfrm>
          <a:off x="19050" y="1905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Grains\fred.bp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ok1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20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ok26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Field%20Pe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Roots,%20Tubers,%20Bulbs\Pota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Grbe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Grains\Corn.bp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Waxb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Perennials\Asp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Forages\Silage.bp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Livestock\Poultry\turkey.bp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Roots,%20Tubers,%20Bulbs\Swpotat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GOAT"/>
    </sheetNames>
    <sheetDataSet>
      <sheetData sheetId="0">
        <row r="1">
          <cell r="A1" t="str">
            <v>Dgoat 1</v>
          </cell>
          <cell r="C1" t="str">
            <v>DAIRY GOAT HERD ENTERPRISE BUDGET</v>
          </cell>
          <cell r="G1" t="str">
            <v>Revised:May '98</v>
          </cell>
        </row>
        <row r="2">
          <cell r="A2">
            <v>302</v>
          </cell>
          <cell r="F2" t="str">
            <v>Profit Per Doe:</v>
          </cell>
          <cell r="H2" t="e">
            <v>#REF!</v>
          </cell>
        </row>
        <row r="3">
          <cell r="G3" t="str">
            <v>Revised: June 94</v>
          </cell>
        </row>
        <row r="4">
          <cell r="A4" t="str">
            <v>Number of Milking Does</v>
          </cell>
          <cell r="D4" t="str">
            <v>hd</v>
          </cell>
          <cell r="E4">
            <v>300</v>
          </cell>
        </row>
        <row r="5">
          <cell r="A5" t="str">
            <v>Percent Does Culled</v>
          </cell>
          <cell r="D5" t="str">
            <v>%</v>
          </cell>
          <cell r="E5">
            <v>20</v>
          </cell>
        </row>
        <row r="6">
          <cell r="A6" t="str">
            <v>Milking Doe Death Loss</v>
          </cell>
          <cell r="D6" t="str">
            <v>%</v>
          </cell>
          <cell r="E6">
            <v>2</v>
          </cell>
        </row>
        <row r="7">
          <cell r="A7" t="str">
            <v>Weight of Cull Does</v>
          </cell>
          <cell r="D7" t="str">
            <v>lbs</v>
          </cell>
          <cell r="E7">
            <v>135</v>
          </cell>
        </row>
        <row r="8">
          <cell r="A8" t="str">
            <v>Price of Cull Does</v>
          </cell>
          <cell r="D8" t="str">
            <v>c/lb</v>
          </cell>
          <cell r="E8">
            <v>50</v>
          </cell>
        </row>
        <row r="9">
          <cell r="A9" t="str">
            <v>Replacement Does Raised</v>
          </cell>
          <cell r="D9" t="str">
            <v>hd</v>
          </cell>
          <cell r="E9">
            <v>66</v>
          </cell>
        </row>
        <row r="10">
          <cell r="A10" t="str">
            <v>Number of Breeding Bucks</v>
          </cell>
          <cell r="D10" t="str">
            <v>hd</v>
          </cell>
          <cell r="E10">
            <v>6</v>
          </cell>
        </row>
        <row r="11">
          <cell r="A11" t="str">
            <v>Weight of Cull Bucks</v>
          </cell>
          <cell r="D11" t="str">
            <v>lbs</v>
          </cell>
          <cell r="E11">
            <v>225</v>
          </cell>
        </row>
        <row r="12">
          <cell r="A12" t="str">
            <v>Price of Cull Bucks</v>
          </cell>
          <cell r="D12" t="str">
            <v>c/lb</v>
          </cell>
          <cell r="E12">
            <v>55</v>
          </cell>
        </row>
        <row r="13">
          <cell r="A13" t="str">
            <v>Number of Bucks Culled</v>
          </cell>
          <cell r="D13" t="str">
            <v>hd</v>
          </cell>
          <cell r="E13">
            <v>2</v>
          </cell>
        </row>
        <row r="14">
          <cell r="K14">
            <v>0</v>
          </cell>
        </row>
        <row r="15">
          <cell r="E15" t="str">
            <v>Opt.</v>
          </cell>
          <cell r="F15" t="str">
            <v> Expected</v>
          </cell>
          <cell r="G15" t="str">
            <v>Pess.</v>
          </cell>
          <cell r="K15">
            <v>107476</v>
          </cell>
        </row>
        <row r="16">
          <cell r="A16" t="str">
            <v>Percent Kid Crop</v>
          </cell>
          <cell r="D16" t="str">
            <v>%</v>
          </cell>
          <cell r="E16">
            <v>200</v>
          </cell>
          <cell r="F16">
            <v>180</v>
          </cell>
          <cell r="G16">
            <v>150</v>
          </cell>
          <cell r="K16" t="e">
            <v>#REF!</v>
          </cell>
        </row>
        <row r="17">
          <cell r="A17" t="str">
            <v>Percent Kid Mortality</v>
          </cell>
          <cell r="D17" t="str">
            <v>%</v>
          </cell>
          <cell r="E17">
            <v>5</v>
          </cell>
          <cell r="F17">
            <v>10</v>
          </cell>
          <cell r="G17">
            <v>15</v>
          </cell>
          <cell r="K17">
            <v>154447.5</v>
          </cell>
        </row>
        <row r="18">
          <cell r="A18" t="str">
            <v>Marketable Kid Crop</v>
          </cell>
          <cell r="D18" t="str">
            <v>hd</v>
          </cell>
          <cell r="E18">
            <v>570</v>
          </cell>
          <cell r="F18">
            <v>486</v>
          </cell>
          <cell r="G18">
            <v>383</v>
          </cell>
          <cell r="K18">
            <v>47035.833680291034</v>
          </cell>
        </row>
        <row r="19">
          <cell r="A19" t="str">
            <v>Selling Price of Kids</v>
          </cell>
          <cell r="D19" t="str">
            <v>$/hd</v>
          </cell>
          <cell r="E19">
            <v>35</v>
          </cell>
          <cell r="F19">
            <v>20</v>
          </cell>
          <cell r="G19">
            <v>15</v>
          </cell>
        </row>
        <row r="20">
          <cell r="A20" t="str">
            <v>Milk Yield per Doe</v>
          </cell>
          <cell r="D20" t="str">
            <v>l/hd</v>
          </cell>
          <cell r="E20">
            <v>800</v>
          </cell>
          <cell r="F20">
            <v>675</v>
          </cell>
          <cell r="G20">
            <v>500</v>
          </cell>
          <cell r="K20" t="str">
            <v>Tran!D3..G14</v>
          </cell>
        </row>
        <row r="21">
          <cell r="A21" t="str">
            <v>Price of Milk</v>
          </cell>
          <cell r="D21" t="str">
            <v>$/hl</v>
          </cell>
          <cell r="E21">
            <v>80</v>
          </cell>
          <cell r="F21">
            <v>70</v>
          </cell>
          <cell r="G21">
            <v>50</v>
          </cell>
          <cell r="K21" t="str">
            <v>Allo!C3..J14</v>
          </cell>
        </row>
        <row r="22">
          <cell r="K22">
            <v>300</v>
          </cell>
        </row>
        <row r="23">
          <cell r="A23" t="str">
            <v>Expected Revenues:</v>
          </cell>
          <cell r="D23" t="str">
            <v>Unit</v>
          </cell>
          <cell r="E23" t="str">
            <v>Number</v>
          </cell>
          <cell r="F23" t="str">
            <v>$/Unit</v>
          </cell>
          <cell r="H23" t="str">
            <v>$/Year</v>
          </cell>
          <cell r="K23">
            <v>600</v>
          </cell>
        </row>
        <row r="24">
          <cell r="A24" t="str">
            <v> Breeding Doe Kid Sales </v>
          </cell>
          <cell r="D24" t="str">
            <v>hd</v>
          </cell>
          <cell r="E24">
            <v>0</v>
          </cell>
          <cell r="F24">
            <v>150</v>
          </cell>
          <cell r="H24">
            <v>0</v>
          </cell>
          <cell r="K24">
            <v>32040</v>
          </cell>
        </row>
        <row r="25">
          <cell r="A25" t="str">
            <v> Breeding Buck Kid Sales</v>
          </cell>
          <cell r="D25" t="str">
            <v>hd</v>
          </cell>
          <cell r="E25">
            <v>0</v>
          </cell>
          <cell r="F25">
            <v>250</v>
          </cell>
          <cell r="H25">
            <v>0</v>
          </cell>
          <cell r="K25">
            <v>4500</v>
          </cell>
        </row>
        <row r="26">
          <cell r="A26" t="str">
            <v> Other Breeding Stock Sales</v>
          </cell>
          <cell r="D26" t="str">
            <v>hd</v>
          </cell>
          <cell r="E26">
            <v>0</v>
          </cell>
          <cell r="F26">
            <v>0</v>
          </cell>
          <cell r="H26">
            <v>0</v>
          </cell>
          <cell r="K26">
            <v>12000</v>
          </cell>
        </row>
        <row r="27">
          <cell r="A27" t="str">
            <v> Cull Doe Sales</v>
          </cell>
          <cell r="D27" t="str">
            <v>hd</v>
          </cell>
          <cell r="E27">
            <v>60</v>
          </cell>
          <cell r="F27">
            <v>67.5</v>
          </cell>
          <cell r="H27">
            <v>4050</v>
          </cell>
          <cell r="K27">
            <v>15600</v>
          </cell>
        </row>
        <row r="28">
          <cell r="A28" t="str">
            <v> Cull Buck Sales</v>
          </cell>
          <cell r="D28" t="str">
            <v>hd</v>
          </cell>
          <cell r="E28">
            <v>2</v>
          </cell>
          <cell r="F28">
            <v>123.75</v>
          </cell>
          <cell r="H28">
            <v>247.5</v>
          </cell>
          <cell r="K28">
            <v>0</v>
          </cell>
        </row>
        <row r="29">
          <cell r="A29" t="str">
            <v> Market Kid Sales</v>
          </cell>
          <cell r="D29" t="str">
            <v>hd</v>
          </cell>
          <cell r="E29">
            <v>420</v>
          </cell>
          <cell r="F29">
            <v>20</v>
          </cell>
          <cell r="H29">
            <v>8400</v>
          </cell>
        </row>
        <row r="30">
          <cell r="A30" t="str">
            <v> Milk Sales </v>
          </cell>
          <cell r="D30" t="str">
            <v>hl</v>
          </cell>
          <cell r="E30">
            <v>2025</v>
          </cell>
          <cell r="F30">
            <v>70</v>
          </cell>
          <cell r="H30">
            <v>141750</v>
          </cell>
        </row>
        <row r="31">
          <cell r="A31" t="str">
            <v>-</v>
          </cell>
          <cell r="B31" t="str">
            <v>-</v>
          </cell>
          <cell r="H31" t="str">
            <v>-</v>
          </cell>
        </row>
        <row r="32">
          <cell r="A32" t="str">
            <v>Expected Total Revenue</v>
          </cell>
          <cell r="H32">
            <v>154447.5</v>
          </cell>
        </row>
        <row r="34">
          <cell r="A34" t="str">
            <v>=</v>
          </cell>
          <cell r="B34" t="str">
            <v>=</v>
          </cell>
          <cell r="C34" t="str">
            <v>=</v>
          </cell>
          <cell r="D34" t="str">
            <v>=</v>
          </cell>
          <cell r="E34" t="str">
            <v>=</v>
          </cell>
          <cell r="F34" t="str">
            <v>=</v>
          </cell>
          <cell r="G34" t="str">
            <v>=</v>
          </cell>
          <cell r="H34" t="str">
            <v>=</v>
          </cell>
        </row>
        <row r="35">
          <cell r="A35" t="str">
            <v>Number of Does to Base Variable Costs on ==&gt;</v>
          </cell>
          <cell r="F35">
            <v>300</v>
          </cell>
          <cell r="G35" t="str">
            <v>**</v>
          </cell>
        </row>
        <row r="36">
          <cell r="A36" t="str">
            <v>**(Enter the herd size used to determine variable costs)</v>
          </cell>
        </row>
        <row r="38">
          <cell r="A38" t="str">
            <v>EXPENSES</v>
          </cell>
          <cell r="E38" t="str">
            <v>Typical</v>
          </cell>
          <cell r="F38" t="str">
            <v>$/Year</v>
          </cell>
          <cell r="H38" t="str">
            <v>$/Year</v>
          </cell>
        </row>
        <row r="39">
          <cell r="E39" t="str">
            <v>$/Doe</v>
          </cell>
          <cell r="F39" t="str">
            <v>300 Does</v>
          </cell>
          <cell r="G39" t="str">
            <v>$/Doe</v>
          </cell>
          <cell r="H39" t="str">
            <v> 300 Does</v>
          </cell>
        </row>
        <row r="40">
          <cell r="A40" t="str">
            <v> Variable Costs:</v>
          </cell>
          <cell r="E40" t="str">
            <v>--------</v>
          </cell>
          <cell r="F40" t="str">
            <v>--------</v>
          </cell>
          <cell r="G40" t="str">
            <v>   -----</v>
          </cell>
          <cell r="H40" t="str">
            <v> --------</v>
          </cell>
        </row>
        <row r="41">
          <cell r="A41" t="str">
            <v>Purchased Feed</v>
          </cell>
        </row>
        <row r="42">
          <cell r="A42" t="str">
            <v>  Hay  #1</v>
          </cell>
          <cell r="B42" t="str">
            <v>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      #2</v>
          </cell>
          <cell r="B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 Grain#1</v>
          </cell>
          <cell r="B44" t="str">
            <v>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#2</v>
          </cell>
          <cell r="B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Protein Supplement</v>
          </cell>
          <cell r="E46">
            <v>6</v>
          </cell>
          <cell r="F46">
            <v>2250</v>
          </cell>
          <cell r="G46">
            <v>7.5</v>
          </cell>
          <cell r="H46">
            <v>2250</v>
          </cell>
        </row>
        <row r="47">
          <cell r="A47" t="str">
            <v>  Salt &amp; Mineral</v>
          </cell>
          <cell r="E47">
            <v>5.3</v>
          </cell>
          <cell r="F47">
            <v>1590</v>
          </cell>
          <cell r="G47">
            <v>5.3</v>
          </cell>
          <cell r="H47">
            <v>1590</v>
          </cell>
        </row>
        <row r="48">
          <cell r="A48" t="str">
            <v>  Prepared Feeds</v>
          </cell>
          <cell r="E48">
            <v>100</v>
          </cell>
          <cell r="F48">
            <v>28200</v>
          </cell>
          <cell r="G48">
            <v>94</v>
          </cell>
          <cell r="H48">
            <v>28200</v>
          </cell>
        </row>
        <row r="51">
          <cell r="A51" t="str">
            <v>Homegrown Feed: (from transfer table)</v>
          </cell>
        </row>
        <row r="52">
          <cell r="A52" t="str">
            <v> Crop Transfers (based on </v>
          </cell>
          <cell r="D52">
            <v>300</v>
          </cell>
          <cell r="E52" t="str">
            <v>Does)</v>
          </cell>
          <cell r="G52">
            <v>0</v>
          </cell>
          <cell r="H52">
            <v>0</v>
          </cell>
        </row>
        <row r="54">
          <cell r="E54" t="str">
            <v>Typical</v>
          </cell>
          <cell r="F54" t="str">
            <v>$/Year</v>
          </cell>
          <cell r="H54" t="str">
            <v>$/Year</v>
          </cell>
        </row>
        <row r="55">
          <cell r="E55" t="str">
            <v>$/Doe</v>
          </cell>
          <cell r="F55" t="str">
            <v>300 Does</v>
          </cell>
          <cell r="G55" t="str">
            <v>$/Doe</v>
          </cell>
          <cell r="H55" t="str">
            <v> 300 Does</v>
          </cell>
        </row>
        <row r="56">
          <cell r="E56" t="str">
            <v>--------</v>
          </cell>
          <cell r="F56" t="str">
            <v>--------</v>
          </cell>
          <cell r="G56" t="str">
            <v>   -----</v>
          </cell>
          <cell r="H56" t="str">
            <v> --------</v>
          </cell>
        </row>
        <row r="57">
          <cell r="B57" t="str">
            <v> *** (Input ONLY if NOT using Crop Transfer table) ***</v>
          </cell>
        </row>
        <row r="58">
          <cell r="A58" t="str">
            <v>Pasture#1</v>
          </cell>
          <cell r="B58" t="str">
            <v> Improved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      #2</v>
          </cell>
          <cell r="B59" t="str">
            <v> Unimpoved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      #3</v>
          </cell>
          <cell r="B60" t="str">
            <v>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Hay    #1</v>
          </cell>
          <cell r="B61" t="str">
            <v> </v>
          </cell>
          <cell r="E61">
            <v>15</v>
          </cell>
          <cell r="F61">
            <v>4200</v>
          </cell>
          <cell r="G61">
            <v>14</v>
          </cell>
          <cell r="H61">
            <v>4200</v>
          </cell>
        </row>
        <row r="62">
          <cell r="A62" t="str">
            <v>       #2</v>
          </cell>
          <cell r="B62" t="str">
            <v> </v>
          </cell>
          <cell r="E62">
            <v>32</v>
          </cell>
          <cell r="F62">
            <v>9000</v>
          </cell>
          <cell r="G62">
            <v>30</v>
          </cell>
          <cell r="H62">
            <v>9000</v>
          </cell>
        </row>
        <row r="63">
          <cell r="A63" t="str">
            <v>Grain  #1</v>
          </cell>
          <cell r="B63" t="str">
            <v>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G65" t="str">
            <v>-</v>
          </cell>
          <cell r="H65" t="str">
            <v>  -------</v>
          </cell>
        </row>
        <row r="66">
          <cell r="A66" t="str">
            <v>Total Feed Costs</v>
          </cell>
          <cell r="G66">
            <v>150.8</v>
          </cell>
          <cell r="H66">
            <v>45240</v>
          </cell>
        </row>
        <row r="67">
          <cell r="H67" t="str">
            <v>$/Year</v>
          </cell>
        </row>
        <row r="68">
          <cell r="E68" t="str">
            <v>Head</v>
          </cell>
          <cell r="F68" t="str">
            <v>$/Head</v>
          </cell>
          <cell r="G68" t="str">
            <v>$/Doe</v>
          </cell>
          <cell r="H68" t="str">
            <v> 300 Does</v>
          </cell>
        </row>
        <row r="69">
          <cell r="A69" t="str">
            <v> Livestock Replacement</v>
          </cell>
          <cell r="E69" t="str">
            <v>    ----</v>
          </cell>
          <cell r="F69" t="str">
            <v>  ------</v>
          </cell>
          <cell r="G69" t="str">
            <v>   -----</v>
          </cell>
          <cell r="H69" t="str">
            <v>-</v>
          </cell>
        </row>
        <row r="70">
          <cell r="A70" t="str">
            <v>  Buck Purchase</v>
          </cell>
          <cell r="E70">
            <v>2</v>
          </cell>
          <cell r="F70">
            <v>300</v>
          </cell>
          <cell r="G70">
            <v>2</v>
          </cell>
          <cell r="H70">
            <v>600</v>
          </cell>
        </row>
        <row r="71">
          <cell r="A71" t="str">
            <v>  Buck Lease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  Milking Doe Purchase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  Replacement Doe Purchase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  Other -</v>
          </cell>
          <cell r="B74" t="str">
            <v> Description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E76" t="str">
            <v>Typical</v>
          </cell>
          <cell r="F76" t="str">
            <v>$/Year</v>
          </cell>
          <cell r="H76" t="str">
            <v>$/Year</v>
          </cell>
        </row>
        <row r="77">
          <cell r="E77" t="str">
            <v>$/Doe</v>
          </cell>
          <cell r="F77" t="str">
            <v>300 Does</v>
          </cell>
          <cell r="G77" t="str">
            <v>$/Doe</v>
          </cell>
          <cell r="H77" t="str">
            <v> 300 Does</v>
          </cell>
        </row>
        <row r="78">
          <cell r="E78" t="str">
            <v> -------</v>
          </cell>
          <cell r="F78" t="str">
            <v>--------</v>
          </cell>
          <cell r="G78" t="str">
            <v>   -----</v>
          </cell>
          <cell r="H78" t="str">
            <v>-</v>
          </cell>
        </row>
        <row r="79">
          <cell r="A79" t="str">
            <v> Hired Labour</v>
          </cell>
          <cell r="E79">
            <v>0</v>
          </cell>
          <cell r="F79">
            <v>1200</v>
          </cell>
          <cell r="G79">
            <v>4</v>
          </cell>
          <cell r="H79">
            <v>1200</v>
          </cell>
        </row>
        <row r="80">
          <cell r="A80" t="str">
            <v> Veterinary &amp; Medicine</v>
          </cell>
          <cell r="E80">
            <v>16</v>
          </cell>
          <cell r="F80">
            <v>4500</v>
          </cell>
          <cell r="G80">
            <v>15</v>
          </cell>
          <cell r="H80">
            <v>4500</v>
          </cell>
        </row>
        <row r="81">
          <cell r="A81" t="str">
            <v> Breeding Costs</v>
          </cell>
          <cell r="E81">
            <v>20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 Bedding</v>
          </cell>
          <cell r="E82">
            <v>1</v>
          </cell>
          <cell r="F82">
            <v>300</v>
          </cell>
          <cell r="G82">
            <v>1</v>
          </cell>
          <cell r="H82">
            <v>300</v>
          </cell>
        </row>
        <row r="83">
          <cell r="A83" t="str">
            <v> Marketing</v>
          </cell>
          <cell r="E83">
            <v>15</v>
          </cell>
          <cell r="F83">
            <v>5100</v>
          </cell>
          <cell r="G83">
            <v>17</v>
          </cell>
          <cell r="H83">
            <v>5100</v>
          </cell>
        </row>
        <row r="84">
          <cell r="A84" t="str">
            <v> Transportation</v>
          </cell>
          <cell r="E84">
            <v>35</v>
          </cell>
          <cell r="F84">
            <v>10500</v>
          </cell>
          <cell r="G84">
            <v>35</v>
          </cell>
          <cell r="H84">
            <v>10500</v>
          </cell>
        </row>
        <row r="85">
          <cell r="A85" t="str">
            <v> Livestock Supplies</v>
          </cell>
          <cell r="E85">
            <v>12.38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 Custom Work</v>
          </cell>
          <cell r="E86">
            <v>5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 Equipment Rental</v>
          </cell>
          <cell r="E87">
            <v>5.26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 Miscellaneous (Tags, etc.)</v>
          </cell>
          <cell r="E88">
            <v>32</v>
          </cell>
          <cell r="F88">
            <v>10500</v>
          </cell>
          <cell r="G88">
            <v>35</v>
          </cell>
          <cell r="H88">
            <v>10500</v>
          </cell>
        </row>
        <row r="89">
          <cell r="D89" t="str">
            <v>Typical</v>
          </cell>
          <cell r="E89" t="str">
            <v> Enterprise</v>
          </cell>
          <cell r="H89" t="str">
            <v>$/Year</v>
          </cell>
        </row>
        <row r="90">
          <cell r="D90" t="str">
            <v> $/Doe</v>
          </cell>
          <cell r="E90" t="str">
            <v> $ Allocated</v>
          </cell>
          <cell r="G90" t="str">
            <v>$/Doe</v>
          </cell>
          <cell r="H90" t="str">
            <v> 300 Does</v>
          </cell>
        </row>
        <row r="91">
          <cell r="A91" t="str">
            <v> Fuel</v>
          </cell>
          <cell r="D91">
            <v>2.5</v>
          </cell>
          <cell r="E91">
            <v>0</v>
          </cell>
          <cell r="G91">
            <v>2.5</v>
          </cell>
          <cell r="H91">
            <v>750</v>
          </cell>
        </row>
        <row r="92">
          <cell r="A92" t="str">
            <v> Mach. Repair &amp; Maint.</v>
          </cell>
          <cell r="D92">
            <v>4.25</v>
          </cell>
          <cell r="E92">
            <v>0</v>
          </cell>
          <cell r="G92">
            <v>4.25</v>
          </cell>
          <cell r="H92">
            <v>1275</v>
          </cell>
          <cell r="K92" t="str">
            <v>Wfarm!L4</v>
          </cell>
        </row>
        <row r="93">
          <cell r="A93" t="str">
            <v> Bldg. Repair &amp; Maint.</v>
          </cell>
          <cell r="D93">
            <v>40</v>
          </cell>
          <cell r="E93">
            <v>0</v>
          </cell>
          <cell r="G93">
            <v>40</v>
          </cell>
          <cell r="H93">
            <v>12000</v>
          </cell>
          <cell r="K93" t="str">
            <v>Wfarm!L5</v>
          </cell>
        </row>
        <row r="94">
          <cell r="A94" t="str">
            <v> Rent and Labour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K94" t="str">
            <v>Wfarm!L6</v>
          </cell>
        </row>
        <row r="95">
          <cell r="A95" t="str">
            <v> General Variable Costs</v>
          </cell>
          <cell r="D95">
            <v>44</v>
          </cell>
          <cell r="E95">
            <v>0</v>
          </cell>
          <cell r="G95">
            <v>44</v>
          </cell>
          <cell r="H95">
            <v>13200</v>
          </cell>
          <cell r="K95" t="str">
            <v>Wfarm!L7</v>
          </cell>
        </row>
        <row r="96">
          <cell r="A96" t="str">
            <v> Interest on</v>
          </cell>
          <cell r="C96" t="str">
            <v>%int</v>
          </cell>
          <cell r="D96" t="str">
            <v>%year</v>
          </cell>
          <cell r="K96" t="str">
            <v>Wfarm!L8</v>
          </cell>
        </row>
        <row r="97">
          <cell r="A97" t="str">
            <v> Operating Capital</v>
          </cell>
          <cell r="C97">
            <v>7.75</v>
          </cell>
          <cell r="D97">
            <v>33.3</v>
          </cell>
          <cell r="E97">
            <v>0</v>
          </cell>
          <cell r="G97">
            <v>7.703333333333333</v>
          </cell>
          <cell r="H97">
            <v>2311</v>
          </cell>
        </row>
        <row r="98">
          <cell r="G98" t="str">
            <v>  ------</v>
          </cell>
          <cell r="H98" t="str">
            <v>  ------</v>
          </cell>
        </row>
        <row r="99">
          <cell r="A99" t="str">
            <v>Total Variable Costs</v>
          </cell>
          <cell r="G99">
            <v>358.25333333333333</v>
          </cell>
          <cell r="H99">
            <v>107476</v>
          </cell>
          <cell r="K99" t="str">
            <v>Wfarm!L9</v>
          </cell>
        </row>
        <row r="100">
          <cell r="J100">
            <v>2311</v>
          </cell>
        </row>
        <row r="101">
          <cell r="D101" t="str">
            <v>Typical</v>
          </cell>
          <cell r="E101" t="str">
            <v> Enterprise</v>
          </cell>
          <cell r="H101" t="str">
            <v>$/Year</v>
          </cell>
        </row>
        <row r="102">
          <cell r="A102" t="str">
            <v>Fixed Costs:</v>
          </cell>
          <cell r="D102" t="str">
            <v> $/Doe</v>
          </cell>
          <cell r="E102" t="str">
            <v> $ Allocated</v>
          </cell>
          <cell r="G102" t="str">
            <v>$/Doe</v>
          </cell>
          <cell r="H102" t="str">
            <v> 300 Does</v>
          </cell>
        </row>
        <row r="103">
          <cell r="A103" t="str">
            <v> Depreciation</v>
          </cell>
          <cell r="D103">
            <v>26</v>
          </cell>
          <cell r="E103">
            <v>0</v>
          </cell>
          <cell r="G103" t="e">
            <v>#REF!</v>
          </cell>
          <cell r="H103" t="e">
            <v>#REF!</v>
          </cell>
        </row>
        <row r="104">
          <cell r="A104" t="str">
            <v> Interest on Term Loans</v>
          </cell>
          <cell r="D104">
            <v>45</v>
          </cell>
          <cell r="E104">
            <v>0</v>
          </cell>
          <cell r="G104" t="e">
            <v>#REF!</v>
          </cell>
          <cell r="H104" t="e">
            <v>#REF!</v>
          </cell>
        </row>
        <row r="105">
          <cell r="A105" t="str">
            <v> Long-term Leases</v>
          </cell>
          <cell r="D105">
            <v>0</v>
          </cell>
          <cell r="E105">
            <v>0</v>
          </cell>
          <cell r="G105" t="e">
            <v>#REF!</v>
          </cell>
          <cell r="H105" t="e">
            <v>#REF!</v>
          </cell>
          <cell r="K105" t="str">
            <v>Wfarm!K4</v>
          </cell>
        </row>
        <row r="106">
          <cell r="A106" t="str">
            <v> General Fixed Costs</v>
          </cell>
          <cell r="D106">
            <v>15</v>
          </cell>
          <cell r="E106">
            <v>0</v>
          </cell>
          <cell r="G106">
            <v>15</v>
          </cell>
          <cell r="H106">
            <v>4500</v>
          </cell>
          <cell r="K106" t="str">
            <v>Wfarm!K5</v>
          </cell>
        </row>
        <row r="107">
          <cell r="G107" t="str">
            <v>  ------</v>
          </cell>
          <cell r="H107" t="str">
            <v>  ------</v>
          </cell>
          <cell r="K107" t="str">
            <v>Wfarm!K6</v>
          </cell>
        </row>
        <row r="108">
          <cell r="A108" t="str">
            <v>Total Fixed Costs</v>
          </cell>
          <cell r="G108" t="e">
            <v>#REF!</v>
          </cell>
          <cell r="H108" t="e">
            <v>#REF!</v>
          </cell>
          <cell r="K108" t="str">
            <v>Wfarm!K7</v>
          </cell>
        </row>
        <row r="110">
          <cell r="A110" t="str">
            <v>Revenues:</v>
          </cell>
          <cell r="D110" t="str">
            <v>$/Doe</v>
          </cell>
          <cell r="E110" t="str">
            <v>$/Year</v>
          </cell>
        </row>
        <row r="111">
          <cell r="A111" t="str">
            <v>Total Expected Revenues</v>
          </cell>
          <cell r="D111">
            <v>514.825</v>
          </cell>
          <cell r="E111">
            <v>154447.5</v>
          </cell>
        </row>
        <row r="112">
          <cell r="A112" t="str">
            <v>    less: Variable Costs</v>
          </cell>
          <cell r="D112">
            <v>358.25333333333333</v>
          </cell>
          <cell r="E112">
            <v>107476</v>
          </cell>
        </row>
        <row r="113">
          <cell r="D113" t="str">
            <v>  ------</v>
          </cell>
          <cell r="E113" t="str">
            <v>  ------</v>
          </cell>
        </row>
        <row r="114">
          <cell r="A114" t="str">
            <v>Expected Operating Margin</v>
          </cell>
          <cell r="D114">
            <v>156.57166666666666</v>
          </cell>
          <cell r="E114">
            <v>46971.5</v>
          </cell>
        </row>
        <row r="115">
          <cell r="A115" t="str">
            <v>     less: Fixed Costs</v>
          </cell>
          <cell r="D115" t="e">
            <v>#REF!</v>
          </cell>
          <cell r="E115" t="e">
            <v>#REF!</v>
          </cell>
        </row>
        <row r="116">
          <cell r="D116" t="str">
            <v>  ------</v>
          </cell>
          <cell r="E116" t="str">
            <v>  ------</v>
          </cell>
        </row>
        <row r="117">
          <cell r="A117" t="str">
            <v>Expected Net Revenue</v>
          </cell>
          <cell r="D117" t="e">
            <v>#REF!</v>
          </cell>
          <cell r="E117" t="e">
            <v>#REF!</v>
          </cell>
        </row>
        <row r="120">
          <cell r="A120" t="str">
            <v>Expected Break-even per</v>
          </cell>
          <cell r="F120" t="str">
            <v>Kid Sold</v>
          </cell>
          <cell r="G120" t="str">
            <v> hl of Milk</v>
          </cell>
        </row>
        <row r="121">
          <cell r="A121" t="str">
            <v>Needed to Cover:</v>
          </cell>
          <cell r="D121" t="str">
            <v>Variable Costs</v>
          </cell>
          <cell r="F121" t="e">
            <v>#REF!</v>
          </cell>
          <cell r="G121" t="e">
            <v>#REF!</v>
          </cell>
        </row>
        <row r="122">
          <cell r="D122" t="str">
            <v>Fixed Costs</v>
          </cell>
          <cell r="F122" t="e">
            <v>#REF!</v>
          </cell>
          <cell r="G122" t="e">
            <v>#REF!</v>
          </cell>
        </row>
        <row r="123">
          <cell r="F123" t="str">
            <v>  ------</v>
          </cell>
          <cell r="G123" t="str">
            <v>  ------</v>
          </cell>
        </row>
        <row r="124">
          <cell r="D124" t="str">
            <v>Total Costs</v>
          </cell>
          <cell r="F124" t="e">
            <v>#REF!</v>
          </cell>
          <cell r="G124" t="e">
            <v>#REF!</v>
          </cell>
        </row>
        <row r="125">
          <cell r="A125" t="str">
            <v>=</v>
          </cell>
          <cell r="B125" t="str">
            <v>=</v>
          </cell>
          <cell r="C125" t="str">
            <v>=</v>
          </cell>
          <cell r="D125" t="str">
            <v>=</v>
          </cell>
          <cell r="E125" t="str">
            <v>=</v>
          </cell>
          <cell r="F125" t="str">
            <v>=</v>
          </cell>
          <cell r="G125" t="str">
            <v>=</v>
          </cell>
          <cell r="H125" t="str">
            <v>=</v>
          </cell>
          <cell r="J125" t="e">
            <v>#REF!</v>
          </cell>
        </row>
        <row r="126">
          <cell r="B126" t="str">
            <v>Chance of at least breaking even        ==&gt;</v>
          </cell>
          <cell r="G126" t="e">
            <v>#REF!</v>
          </cell>
          <cell r="H126" t="str">
            <v>StdPrKids</v>
          </cell>
          <cell r="J126" t="e">
            <v>#REF!</v>
          </cell>
        </row>
        <row r="127">
          <cell r="B127" t="str">
            <v>Chance of at least</v>
          </cell>
          <cell r="D127">
            <v>0</v>
          </cell>
          <cell r="E127" t="str">
            <v>$/doe return ==&gt;</v>
          </cell>
          <cell r="G127" t="e">
            <v>#REF!</v>
          </cell>
          <cell r="H127" t="str">
            <v>VarKids</v>
          </cell>
        </row>
        <row r="128">
          <cell r="B128" t="str">
            <v>Coefficient of variation                ==&gt;</v>
          </cell>
          <cell r="G128">
            <v>0.3045425382754077</v>
          </cell>
          <cell r="H128" t="str">
            <v>StdHlMilk</v>
          </cell>
        </row>
        <row r="129">
          <cell r="H129" t="str">
            <v>StdPrMilk</v>
          </cell>
        </row>
        <row r="130">
          <cell r="C130" t="str">
            <v>Returns $/Doe</v>
          </cell>
          <cell r="E130" t="str">
            <v>Chances of at least</v>
          </cell>
          <cell r="H130" t="str">
            <v>VarMilk</v>
          </cell>
          <cell r="I130">
            <v>0.935</v>
          </cell>
        </row>
        <row r="131">
          <cell r="E131" t="str">
            <v>this return per doe</v>
          </cell>
          <cell r="H131" t="str">
            <v>VarSum</v>
          </cell>
          <cell r="I131">
            <v>10</v>
          </cell>
        </row>
        <row r="132">
          <cell r="H132" t="str">
            <v>StdSum</v>
          </cell>
          <cell r="I132">
            <v>2799.0725</v>
          </cell>
        </row>
        <row r="133">
          <cell r="C133" t="e">
            <v>#REF!</v>
          </cell>
          <cell r="E133" t="str">
            <v>       17 %</v>
          </cell>
          <cell r="H133" t="str">
            <v>z</v>
          </cell>
          <cell r="I133">
            <v>1.5</v>
          </cell>
        </row>
        <row r="134">
          <cell r="C134" t="e">
            <v>#REF!</v>
          </cell>
          <cell r="E134" t="str">
            <v>       33 %</v>
          </cell>
          <cell r="H134" t="str">
            <v>v1</v>
          </cell>
          <cell r="I134">
            <v>15</v>
          </cell>
        </row>
        <row r="135">
          <cell r="C135" t="e">
            <v>#REF!</v>
          </cell>
          <cell r="E135" t="str">
            <v>       50 %</v>
          </cell>
          <cell r="H135" t="str">
            <v>v2</v>
          </cell>
          <cell r="I135">
            <v>21782.8125</v>
          </cell>
        </row>
        <row r="136">
          <cell r="C136" t="e">
            <v>#REF!</v>
          </cell>
          <cell r="E136" t="str">
            <v>       67 %</v>
          </cell>
          <cell r="H136" t="str">
            <v>p(vx)</v>
          </cell>
          <cell r="I136">
            <v>24581.885000000002</v>
          </cell>
        </row>
        <row r="137">
          <cell r="C137" t="e">
            <v>#REF!</v>
          </cell>
          <cell r="E137" t="str">
            <v>       83 %</v>
          </cell>
          <cell r="I137">
            <v>156.78611226763678</v>
          </cell>
        </row>
        <row r="138">
          <cell r="H138" t="str">
            <v/>
          </cell>
          <cell r="I138" t="e">
            <v>#REF!</v>
          </cell>
          <cell r="J138" t="e">
            <v>#REF!</v>
          </cell>
        </row>
        <row r="139">
          <cell r="E139" t="str">
            <v>- End of Budget -</v>
          </cell>
          <cell r="I139" t="e">
            <v>#REF!</v>
          </cell>
          <cell r="J139" t="e">
            <v>#REF!</v>
          </cell>
        </row>
        <row r="140">
          <cell r="A140" t="str">
            <v>=</v>
          </cell>
          <cell r="B140" t="str">
            <v>=</v>
          </cell>
          <cell r="C140" t="str">
            <v>=</v>
          </cell>
          <cell r="D140" t="str">
            <v>=</v>
          </cell>
          <cell r="E140" t="str">
            <v>=</v>
          </cell>
          <cell r="F140" t="str">
            <v>=</v>
          </cell>
          <cell r="G140" t="str">
            <v>=</v>
          </cell>
          <cell r="H140" t="str">
            <v>=</v>
          </cell>
          <cell r="I140" t="e">
            <v>#REF!</v>
          </cell>
          <cell r="J140" t="e">
            <v>#REF!</v>
          </cell>
        </row>
        <row r="141">
          <cell r="I141" t="e">
            <v>#REF!</v>
          </cell>
          <cell r="J141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O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HEIFER"/>
    </sheetNames>
    <sheetDataSet>
      <sheetData sheetId="0">
        <row r="1">
          <cell r="A1" t="str">
            <v>Dheifer 1</v>
          </cell>
          <cell r="C1" t="str">
            <v>DAIRY HEIFER BUDGET</v>
          </cell>
          <cell r="G1" t="str">
            <v>Revised: May '98</v>
          </cell>
        </row>
        <row r="2">
          <cell r="A2">
            <v>2</v>
          </cell>
          <cell r="F2" t="str">
            <v>Profit Per Heifer:</v>
          </cell>
          <cell r="H2">
            <v>88.04531616747907</v>
          </cell>
        </row>
        <row r="3">
          <cell r="A3" t="str">
            <v>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</row>
        <row r="4">
          <cell r="A4" t="str">
            <v>This budget is designed to analyze an operation with continuous dairy</v>
          </cell>
        </row>
        <row r="5">
          <cell r="A5" t="str">
            <v>heifer production.  All heifer purchases must be made at the beginning</v>
          </cell>
        </row>
        <row r="6">
          <cell r="A6" t="str">
            <v>of a production stage and all heifer sales must occur at the end of a</v>
          </cell>
        </row>
        <row r="7">
          <cell r="A7" t="str">
            <v>production stage.  Heifers are not kept in the operation after the </v>
          </cell>
        </row>
        <row r="8">
          <cell r="A8" t="str">
            <v>last month of the final stage.  Stages have to be less than or equal</v>
          </cell>
        </row>
        <row r="9">
          <cell r="A9" t="str">
            <v>to 12 months.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2">
          <cell r="A12" t="str">
            <v>Expected</v>
          </cell>
          <cell r="D12" t="str">
            <v>Stage 1</v>
          </cell>
          <cell r="F12" t="str">
            <v>Stage 2</v>
          </cell>
          <cell r="H12" t="str">
            <v>Stage 3</v>
          </cell>
        </row>
        <row r="13">
          <cell r="A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A14" t="str">
            <v># Purchased per month</v>
          </cell>
          <cell r="D14">
            <v>0</v>
          </cell>
          <cell r="F14">
            <v>3</v>
          </cell>
          <cell r="H14">
            <v>0</v>
          </cell>
          <cell r="K14">
            <v>0</v>
          </cell>
        </row>
        <row r="15">
          <cell r="A15" t="str">
            <v>Monthly Transfer in</v>
          </cell>
          <cell r="D15">
            <v>10</v>
          </cell>
          <cell r="F15">
            <v>9.8</v>
          </cell>
          <cell r="H15">
            <v>10.0352</v>
          </cell>
          <cell r="K15">
            <v>125964.074565677</v>
          </cell>
        </row>
        <row r="16">
          <cell r="A16" t="str">
            <v>Total Entering Stage</v>
          </cell>
          <cell r="D16">
            <v>10</v>
          </cell>
          <cell r="F16">
            <v>12.8</v>
          </cell>
          <cell r="H16">
            <v>10.0352</v>
          </cell>
          <cell r="K16">
            <v>6691.448063999998</v>
          </cell>
        </row>
        <row r="17">
          <cell r="A17" t="str">
            <v>Beginning Value ($/head)</v>
          </cell>
          <cell r="D17">
            <v>125</v>
          </cell>
          <cell r="F17">
            <v>450</v>
          </cell>
          <cell r="H17">
            <v>900</v>
          </cell>
          <cell r="K17">
            <v>156910.3872</v>
          </cell>
        </row>
        <row r="18">
          <cell r="A18" t="str">
            <v>Beginning Age (months)</v>
          </cell>
          <cell r="D18">
            <v>0</v>
          </cell>
          <cell r="F18">
            <v>8</v>
          </cell>
          <cell r="H18">
            <v>17</v>
          </cell>
          <cell r="K18">
            <v>19919.58406197647</v>
          </cell>
        </row>
        <row r="19">
          <cell r="A19" t="str">
            <v>Ending Value ($/head)</v>
          </cell>
          <cell r="D19">
            <v>450</v>
          </cell>
          <cell r="F19">
            <v>900</v>
          </cell>
          <cell r="H19">
            <v>1100</v>
          </cell>
        </row>
        <row r="20">
          <cell r="A20" t="str">
            <v>Ending Age (months)</v>
          </cell>
          <cell r="D20">
            <v>7</v>
          </cell>
          <cell r="F20">
            <v>16</v>
          </cell>
          <cell r="H20">
            <v>24</v>
          </cell>
          <cell r="K20" t="str">
            <v>Tran!D3..G14</v>
          </cell>
        </row>
        <row r="21">
          <cell r="A21" t="str">
            <v>% Death Loss</v>
          </cell>
          <cell r="D21">
            <v>2</v>
          </cell>
          <cell r="F21">
            <v>2</v>
          </cell>
          <cell r="H21">
            <v>2</v>
          </cell>
          <cell r="K21" t="str">
            <v>Allo!C3..J14</v>
          </cell>
        </row>
        <row r="22">
          <cell r="A22" t="str">
            <v>% Sold at End of Stage</v>
          </cell>
          <cell r="D22">
            <v>0</v>
          </cell>
          <cell r="F22">
            <v>20</v>
          </cell>
          <cell r="H22">
            <v>100</v>
          </cell>
          <cell r="K22">
            <v>275.48159999999996</v>
          </cell>
        </row>
        <row r="23">
          <cell r="A23" t="str">
            <v># of Cattle in Stage</v>
          </cell>
          <cell r="D23">
            <v>80</v>
          </cell>
          <cell r="F23">
            <v>115.2</v>
          </cell>
          <cell r="H23">
            <v>80.2816</v>
          </cell>
          <cell r="K23">
            <v>15938.578285714282</v>
          </cell>
        </row>
        <row r="24">
          <cell r="K24">
            <v>93082.85367437641</v>
          </cell>
        </row>
        <row r="25">
          <cell r="A25" t="str">
            <v>Total # of Cattle on Farm</v>
          </cell>
          <cell r="D25">
            <v>275.48159999999996</v>
          </cell>
          <cell r="K25">
            <v>2611.172022857142</v>
          </cell>
        </row>
        <row r="26">
          <cell r="A26" t="str">
            <v>% Crop Transfers by Stage</v>
          </cell>
          <cell r="D26">
            <v>20</v>
          </cell>
          <cell r="F26">
            <v>34</v>
          </cell>
          <cell r="H26">
            <v>46</v>
          </cell>
          <cell r="K26">
            <v>761.5098514285713</v>
          </cell>
        </row>
        <row r="27">
          <cell r="K27">
            <v>375.8356114285714</v>
          </cell>
        </row>
        <row r="28">
          <cell r="A28" t="str">
            <v>Risk Ratings for all Stages</v>
          </cell>
          <cell r="K28">
            <v>66.90267428571427</v>
          </cell>
        </row>
        <row r="29">
          <cell r="A29" t="str">
            <v>2/3 chance of Death Loss  within + or -</v>
          </cell>
          <cell r="F29">
            <v>20</v>
          </cell>
          <cell r="G29" t="str">
            <v>%  of Expected</v>
          </cell>
        </row>
        <row r="30">
          <cell r="A30" t="str">
            <v>2/3 chance of Heifer Prices  within + or -</v>
          </cell>
          <cell r="F30">
            <v>5</v>
          </cell>
          <cell r="G30" t="str">
            <v>%  of Expected</v>
          </cell>
        </row>
        <row r="31">
          <cell r="A31" t="str">
            <v>2/3 chance of Sale Price  within + or -</v>
          </cell>
          <cell r="F31">
            <v>15</v>
          </cell>
          <cell r="G31" t="str">
            <v>%  of Expected</v>
          </cell>
        </row>
        <row r="32">
          <cell r="A32" t="str">
            <v>=</v>
          </cell>
          <cell r="B32" t="str">
            <v>=</v>
          </cell>
          <cell r="C32" t="str">
            <v>=</v>
          </cell>
          <cell r="D32" t="str">
            <v>=</v>
          </cell>
          <cell r="E32" t="str">
            <v>=</v>
          </cell>
          <cell r="F32" t="str">
            <v>=</v>
          </cell>
          <cell r="G32" t="str">
            <v>=</v>
          </cell>
          <cell r="H32" t="str">
            <v>=</v>
          </cell>
        </row>
        <row r="34">
          <cell r="A34" t="str">
            <v>EXPENSES</v>
          </cell>
        </row>
        <row r="35">
          <cell r="A35" t="str">
            <v>-</v>
          </cell>
        </row>
        <row r="36">
          <cell r="A36" t="str">
            <v> Variable Expenses:</v>
          </cell>
        </row>
        <row r="37">
          <cell r="D37" t="str">
            <v> |---- lbs/day/hd ----</v>
          </cell>
          <cell r="F37" t="str">
            <v>------|</v>
          </cell>
          <cell r="G37" t="str">
            <v>Avg. Feed</v>
          </cell>
        </row>
        <row r="38">
          <cell r="A38" t="str">
            <v>Purchased Feed:</v>
          </cell>
          <cell r="C38" t="str">
            <v>$/Tonne</v>
          </cell>
          <cell r="D38" t="str">
            <v>Stage 1</v>
          </cell>
          <cell r="E38" t="str">
            <v>Stage 2</v>
          </cell>
          <cell r="F38" t="str">
            <v>Stage 3</v>
          </cell>
          <cell r="G38" t="str">
            <v>lbs/Hd</v>
          </cell>
          <cell r="H38" t="str">
            <v>$/Year</v>
          </cell>
        </row>
        <row r="39"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</row>
        <row r="40">
          <cell r="A40" t="str">
            <v> Grain #1</v>
          </cell>
          <cell r="B40" t="str">
            <v>  Corn</v>
          </cell>
          <cell r="C40">
            <v>116</v>
          </cell>
          <cell r="D40">
            <v>2</v>
          </cell>
          <cell r="E40">
            <v>8</v>
          </cell>
          <cell r="F40">
            <v>19</v>
          </cell>
          <cell r="G40">
            <v>3454.08512220054</v>
          </cell>
          <cell r="H40">
            <v>50058.17684172336</v>
          </cell>
          <cell r="I40">
            <v>0</v>
          </cell>
          <cell r="J40">
            <v>38.690000000000005</v>
          </cell>
          <cell r="K40">
            <v>93044.16367437641</v>
          </cell>
        </row>
        <row r="41">
          <cell r="A41" t="str">
            <v>       #2</v>
          </cell>
          <cell r="B41" t="str">
            <v>  Barley</v>
          </cell>
          <cell r="C41">
            <v>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      #3</v>
          </cell>
          <cell r="B42" t="str">
            <v>  Suppl.</v>
          </cell>
          <cell r="C42">
            <v>275</v>
          </cell>
          <cell r="D42">
            <v>1.5</v>
          </cell>
          <cell r="E42">
            <v>1.5</v>
          </cell>
          <cell r="F42">
            <v>1.5</v>
          </cell>
          <cell r="G42">
            <v>547.5000000000001</v>
          </cell>
          <cell r="H42">
            <v>18810.52081632653</v>
          </cell>
        </row>
        <row r="43">
          <cell r="A43" t="str">
            <v> Forage#1</v>
          </cell>
          <cell r="B43" t="str">
            <v>  Silage</v>
          </cell>
          <cell r="C43">
            <v>18</v>
          </cell>
          <cell r="D43">
            <v>36</v>
          </cell>
          <cell r="E43">
            <v>33</v>
          </cell>
          <cell r="F43">
            <v>18</v>
          </cell>
          <cell r="G43">
            <v>10767.449121828828</v>
          </cell>
          <cell r="H43">
            <v>24214.15601632653</v>
          </cell>
        </row>
        <row r="44">
          <cell r="A44" t="str">
            <v>       #2</v>
          </cell>
          <cell r="B44" t="str">
            <v>  Haylage</v>
          </cell>
          <cell r="C44">
            <v>20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#3</v>
          </cell>
          <cell r="B45" t="str">
            <v>  Hay</v>
          </cell>
          <cell r="C45">
            <v>55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Other -</v>
          </cell>
          <cell r="B46" t="str">
            <v>  Mineral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52">
          <cell r="A52" t="str">
            <v>Homegrown Feed: *</v>
          </cell>
        </row>
        <row r="53">
          <cell r="A53" t="str">
            <v> Crop Transfers (based on </v>
          </cell>
          <cell r="D53">
            <v>280</v>
          </cell>
          <cell r="E53" t="str">
            <v>head)</v>
          </cell>
          <cell r="G53">
            <v>0</v>
          </cell>
          <cell r="H53">
            <v>0</v>
          </cell>
        </row>
        <row r="54">
          <cell r="B54" t="str">
            <v>(from transfer table)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</row>
        <row r="56">
          <cell r="D56" t="str">
            <v> |------- lbs/day/hd ----|</v>
          </cell>
          <cell r="G56" t="str">
            <v>Tot. Feed</v>
          </cell>
        </row>
        <row r="57">
          <cell r="A57" t="str">
            <v>   - or -</v>
          </cell>
          <cell r="C57" t="str">
            <v>$/Tonne</v>
          </cell>
          <cell r="D57" t="str">
            <v>Stage 1</v>
          </cell>
          <cell r="E57" t="str">
            <v>Stage 2</v>
          </cell>
          <cell r="F57" t="str">
            <v>Stage 3</v>
          </cell>
          <cell r="G57" t="str">
            <v>lbs/Hd</v>
          </cell>
          <cell r="H57" t="str">
            <v>$/Year</v>
          </cell>
        </row>
        <row r="58"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</row>
        <row r="59">
          <cell r="B59" t="str">
            <v>*** (Input ONLY if NOT using Crop Transfer table) ***</v>
          </cell>
        </row>
        <row r="60">
          <cell r="A60" t="str">
            <v> Grain #1</v>
          </cell>
          <cell r="B60" t="str">
            <v>  Corn</v>
          </cell>
          <cell r="C60">
            <v>100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      #2</v>
          </cell>
          <cell r="B61" t="str">
            <v>  Barley</v>
          </cell>
          <cell r="C61">
            <v>100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       #3</v>
          </cell>
          <cell r="B62" t="str">
            <v>  Suppl.</v>
          </cell>
          <cell r="C62">
            <v>290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 Forage#1</v>
          </cell>
          <cell r="B63" t="str">
            <v>  Silage</v>
          </cell>
          <cell r="C63">
            <v>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 Haylage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       #3</v>
          </cell>
          <cell r="B65" t="str">
            <v>  Hay</v>
          </cell>
          <cell r="C65">
            <v>55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Feed Quantity</v>
          </cell>
          <cell r="D66">
            <v>39.5</v>
          </cell>
          <cell r="E66">
            <v>42.5</v>
          </cell>
          <cell r="F66">
            <v>38.5</v>
          </cell>
          <cell r="G66">
            <v>14769.034244029368</v>
          </cell>
        </row>
        <row r="68">
          <cell r="A68" t="str">
            <v>Total Feed Cost</v>
          </cell>
          <cell r="D68">
            <v>0.5862741540415495</v>
          </cell>
          <cell r="E68">
            <v>0.8774834437086093</v>
          </cell>
          <cell r="F68">
            <v>1.3338020502585504</v>
          </cell>
          <cell r="H68">
            <v>93082.85367437641</v>
          </cell>
        </row>
        <row r="70">
          <cell r="A70" t="str">
            <v>Number of Head to Base Following Variable Costs on ==&gt; **</v>
          </cell>
          <cell r="H70">
            <v>280</v>
          </cell>
        </row>
        <row r="72">
          <cell r="A72" t="str">
            <v>Variable cost (excluding feed) &amp; Fixed costs allocated to each Stage </v>
          </cell>
        </row>
        <row r="73">
          <cell r="D73" t="str">
            <v>Stage 1</v>
          </cell>
          <cell r="F73" t="str">
            <v>Stage 2</v>
          </cell>
          <cell r="H73" t="str">
            <v>Stage 3</v>
          </cell>
        </row>
        <row r="74">
          <cell r="A74" t="str">
            <v>   Percent Allocated</v>
          </cell>
          <cell r="D74">
            <v>20</v>
          </cell>
          <cell r="F74">
            <v>35</v>
          </cell>
          <cell r="H74">
            <v>45</v>
          </cell>
        </row>
        <row r="76">
          <cell r="A76" t="str">
            <v>   ** (You MUST enter here, the herd size you used to</v>
          </cell>
        </row>
        <row r="77">
          <cell r="A77" t="str">
            <v>       determine your variable costs!!)</v>
          </cell>
        </row>
        <row r="79">
          <cell r="E79" t="str">
            <v>Typical</v>
          </cell>
          <cell r="F79" t="str">
            <v>$/Year</v>
          </cell>
          <cell r="H79" t="str">
            <v>$/Year</v>
          </cell>
        </row>
        <row r="80">
          <cell r="E80" t="str">
            <v>$/Heifer</v>
          </cell>
          <cell r="F80" t="str">
            <v>280 Head</v>
          </cell>
          <cell r="G80" t="str">
            <v>$/Head</v>
          </cell>
          <cell r="H80" t="str">
            <v> 275 Head</v>
          </cell>
        </row>
        <row r="81"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</row>
        <row r="82">
          <cell r="A82" t="str">
            <v> Hired Labour</v>
          </cell>
          <cell r="E82">
            <v>0.74</v>
          </cell>
          <cell r="F82">
            <v>74</v>
          </cell>
          <cell r="G82">
            <v>0.2642857142857143</v>
          </cell>
          <cell r="H82">
            <v>72.80585142857142</v>
          </cell>
        </row>
        <row r="83">
          <cell r="A83" t="str">
            <v> Insurance on Livestock</v>
          </cell>
          <cell r="E83">
            <v>3</v>
          </cell>
          <cell r="F83">
            <v>300</v>
          </cell>
          <cell r="G83">
            <v>1.0714285714285714</v>
          </cell>
          <cell r="H83">
            <v>295.1588571428571</v>
          </cell>
        </row>
        <row r="84">
          <cell r="A84" t="str">
            <v> Vet, Medicine</v>
          </cell>
          <cell r="E84">
            <v>2.54</v>
          </cell>
          <cell r="F84">
            <v>254</v>
          </cell>
          <cell r="G84">
            <v>0.9071428571428571</v>
          </cell>
          <cell r="H84">
            <v>249.90116571428567</v>
          </cell>
        </row>
        <row r="85">
          <cell r="A85" t="str">
            <v> Breeding Fees</v>
          </cell>
          <cell r="E85">
            <v>24</v>
          </cell>
          <cell r="F85">
            <v>2400</v>
          </cell>
          <cell r="G85">
            <v>8.571428571428571</v>
          </cell>
          <cell r="H85">
            <v>2361.2708571428566</v>
          </cell>
        </row>
        <row r="86">
          <cell r="A86" t="str">
            <v> Marketing Fees</v>
          </cell>
          <cell r="E86">
            <v>2</v>
          </cell>
          <cell r="F86">
            <v>200</v>
          </cell>
          <cell r="G86">
            <v>0.7142857142857143</v>
          </cell>
          <cell r="H86">
            <v>196.7725714285714</v>
          </cell>
        </row>
        <row r="87">
          <cell r="A87" t="str">
            <v> Trucking</v>
          </cell>
          <cell r="E87">
            <v>1.82</v>
          </cell>
          <cell r="F87">
            <v>182</v>
          </cell>
          <cell r="G87">
            <v>0.65</v>
          </cell>
          <cell r="H87">
            <v>179.06303999999997</v>
          </cell>
        </row>
        <row r="88">
          <cell r="A88" t="str">
            <v> Bedding</v>
          </cell>
          <cell r="E88">
            <v>2</v>
          </cell>
          <cell r="F88">
            <v>200</v>
          </cell>
          <cell r="G88">
            <v>0.7142857142857143</v>
          </cell>
          <cell r="H88">
            <v>196.7725714285714</v>
          </cell>
        </row>
        <row r="89">
          <cell r="A89" t="str">
            <v> Custom Work</v>
          </cell>
          <cell r="E89">
            <v>0.48</v>
          </cell>
          <cell r="F89">
            <v>48</v>
          </cell>
          <cell r="G89">
            <v>0.17142857142857143</v>
          </cell>
          <cell r="H89">
            <v>47.22541714285713</v>
          </cell>
          <cell r="K89" t="str">
            <v>Wfarm!L4</v>
          </cell>
        </row>
        <row r="90">
          <cell r="A90" t="str">
            <v> Equipment Rentals</v>
          </cell>
          <cell r="E90">
            <v>0.2</v>
          </cell>
          <cell r="F90">
            <v>20</v>
          </cell>
          <cell r="G90">
            <v>0.07142857142857142</v>
          </cell>
          <cell r="H90">
            <v>19.67725714285714</v>
          </cell>
          <cell r="K90" t="str">
            <v>Wfarm!L5</v>
          </cell>
        </row>
        <row r="91">
          <cell r="A91" t="str">
            <v> Other</v>
          </cell>
          <cell r="E91">
            <v>2</v>
          </cell>
          <cell r="F91">
            <v>200</v>
          </cell>
          <cell r="G91">
            <v>0.7142857142857143</v>
          </cell>
          <cell r="H91">
            <v>196.7725714285714</v>
          </cell>
          <cell r="K91" t="str">
            <v>Wfarm!L6</v>
          </cell>
        </row>
        <row r="92">
          <cell r="A92" t="str">
            <v> Expected Cost of Heifers</v>
          </cell>
          <cell r="F92">
            <v>16200</v>
          </cell>
          <cell r="G92">
            <v>57.857142857142854</v>
          </cell>
          <cell r="H92">
            <v>15938.578285714282</v>
          </cell>
          <cell r="K92" t="str">
            <v>Wfarm!L7</v>
          </cell>
        </row>
        <row r="93">
          <cell r="K93" t="str">
            <v>Wfarm!L8</v>
          </cell>
        </row>
        <row r="95">
          <cell r="I95">
            <v>8045.6064</v>
          </cell>
        </row>
        <row r="96">
          <cell r="I96">
            <v>2957.721197586321</v>
          </cell>
          <cell r="K96" t="str">
            <v>Wfarm!L9</v>
          </cell>
        </row>
        <row r="101">
          <cell r="D101" t="str">
            <v>Typical</v>
          </cell>
          <cell r="E101" t="str">
            <v> Enterprise</v>
          </cell>
          <cell r="G101" t="str">
            <v> $/Heifer</v>
          </cell>
          <cell r="H101" t="str">
            <v>$/Year</v>
          </cell>
        </row>
        <row r="102">
          <cell r="D102" t="str">
            <v> $/Heifer</v>
          </cell>
          <cell r="E102" t="str">
            <v> $ Allocated</v>
          </cell>
          <cell r="G102" t="str">
            <v>Purchased</v>
          </cell>
          <cell r="H102" t="str">
            <v> 275 Head</v>
          </cell>
        </row>
        <row r="103">
          <cell r="D103" t="str">
            <v>-</v>
          </cell>
          <cell r="E103" t="str">
            <v>-</v>
          </cell>
          <cell r="F103" t="str">
            <v>---</v>
          </cell>
          <cell r="G103" t="str">
            <v>-</v>
          </cell>
          <cell r="H103" t="str">
            <v>-</v>
          </cell>
        </row>
        <row r="104">
          <cell r="A104" t="str">
            <v> Fuel</v>
          </cell>
          <cell r="D104">
            <v>0.44</v>
          </cell>
          <cell r="E104">
            <v>0</v>
          </cell>
          <cell r="G104">
            <v>0.44</v>
          </cell>
          <cell r="H104">
            <v>121.21190399999998</v>
          </cell>
        </row>
        <row r="105">
          <cell r="A105" t="str">
            <v> Mach. Repair &amp; Maint.</v>
          </cell>
          <cell r="D105">
            <v>2.91</v>
          </cell>
          <cell r="E105">
            <v>0</v>
          </cell>
          <cell r="G105">
            <v>2.91</v>
          </cell>
          <cell r="H105">
            <v>801.6514559999999</v>
          </cell>
          <cell r="K105" t="str">
            <v>Wfarm!K4</v>
          </cell>
        </row>
        <row r="106">
          <cell r="A106" t="str">
            <v> Bldg. Repair &amp; Maint.</v>
          </cell>
          <cell r="D106">
            <v>1.17</v>
          </cell>
          <cell r="E106">
            <v>0</v>
          </cell>
          <cell r="G106">
            <v>1.17</v>
          </cell>
          <cell r="H106">
            <v>322.31347199999993</v>
          </cell>
          <cell r="K106" t="str">
            <v>Wfarm!K5</v>
          </cell>
        </row>
        <row r="107">
          <cell r="A107" t="str">
            <v> Rent and Labour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K107" t="str">
            <v>Wfarm!K6</v>
          </cell>
        </row>
        <row r="108">
          <cell r="A108" t="str">
            <v> General Variable Costs</v>
          </cell>
          <cell r="D108">
            <v>2.01</v>
          </cell>
          <cell r="E108">
            <v>0</v>
          </cell>
          <cell r="G108">
            <v>2.01</v>
          </cell>
          <cell r="H108">
            <v>553.7180159999998</v>
          </cell>
          <cell r="K108" t="str">
            <v>Wfarm!K7</v>
          </cell>
        </row>
        <row r="109">
          <cell r="A109" t="str">
            <v> Interest on </v>
          </cell>
          <cell r="D109" t="str">
            <v>% int</v>
          </cell>
        </row>
        <row r="110">
          <cell r="A110" t="str">
            <v> Operating Capital</v>
          </cell>
          <cell r="D110">
            <v>6</v>
          </cell>
          <cell r="E110">
            <v>0</v>
          </cell>
          <cell r="G110">
            <v>39.942150755572506</v>
          </cell>
          <cell r="H110">
            <v>11003.327597586322</v>
          </cell>
          <cell r="I110">
            <v>0</v>
          </cell>
        </row>
        <row r="111">
          <cell r="A111" t="str">
            <v>Total Variable Costs</v>
          </cell>
          <cell r="G111">
            <v>457.2504100661424</v>
          </cell>
          <cell r="H111">
            <v>125964.074565677</v>
          </cell>
          <cell r="I111">
            <v>27095.04</v>
          </cell>
        </row>
        <row r="112">
          <cell r="I112">
            <v>129815.34719999999</v>
          </cell>
        </row>
        <row r="113">
          <cell r="D113" t="str">
            <v>Typical</v>
          </cell>
          <cell r="E113" t="str">
            <v> Enterprise</v>
          </cell>
          <cell r="G113" t="str">
            <v> $/Heifer</v>
          </cell>
          <cell r="H113" t="str">
            <v>$/Year</v>
          </cell>
        </row>
        <row r="114">
          <cell r="A114" t="str">
            <v>Fixed Costs:</v>
          </cell>
          <cell r="D114" t="str">
            <v> $/Heifer</v>
          </cell>
          <cell r="E114" t="str">
            <v> $ Allocated</v>
          </cell>
          <cell r="G114" t="str">
            <v>Purchased</v>
          </cell>
          <cell r="H114" t="str">
            <v> 275 Head</v>
          </cell>
        </row>
        <row r="115">
          <cell r="D115" t="str">
            <v>-</v>
          </cell>
          <cell r="E115" t="str">
            <v>-</v>
          </cell>
          <cell r="F115" t="str">
            <v>---</v>
          </cell>
          <cell r="G115" t="str">
            <v>-</v>
          </cell>
          <cell r="H115" t="str">
            <v>-</v>
          </cell>
        </row>
        <row r="116">
          <cell r="A116" t="str">
            <v> Depreciation</v>
          </cell>
          <cell r="D116">
            <v>12.52</v>
          </cell>
          <cell r="E116">
            <v>0</v>
          </cell>
          <cell r="G116">
            <v>12.52</v>
          </cell>
          <cell r="H116">
            <v>3449.0296319999993</v>
          </cell>
        </row>
        <row r="117">
          <cell r="A117" t="str">
            <v> Interest on Term Loans</v>
          </cell>
          <cell r="D117">
            <v>3.57</v>
          </cell>
          <cell r="E117">
            <v>0</v>
          </cell>
          <cell r="G117">
            <v>3.57</v>
          </cell>
          <cell r="H117">
            <v>983.4693119999998</v>
          </cell>
        </row>
        <row r="118">
          <cell r="A118" t="str">
            <v> Long-term Leases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</row>
        <row r="119">
          <cell r="A119" t="str">
            <v> General Fixed Costs</v>
          </cell>
          <cell r="D119">
            <v>8.2</v>
          </cell>
          <cell r="E119">
            <v>0</v>
          </cell>
          <cell r="G119">
            <v>8.2</v>
          </cell>
          <cell r="H119">
            <v>2258.9491199999993</v>
          </cell>
        </row>
        <row r="120">
          <cell r="A120" t="str">
            <v>Total Fixed Costs</v>
          </cell>
          <cell r="G120">
            <v>24.29</v>
          </cell>
          <cell r="H120">
            <v>6691.448063999998</v>
          </cell>
          <cell r="I120">
            <v>0</v>
          </cell>
        </row>
        <row r="121">
          <cell r="I121">
            <v>30.1056</v>
          </cell>
        </row>
        <row r="122">
          <cell r="A122" t="str">
            <v>Revenues:</v>
          </cell>
          <cell r="E122" t="str">
            <v>$/Heifer</v>
          </cell>
          <cell r="F122" t="str">
            <v>$/Year</v>
          </cell>
          <cell r="I122">
            <v>118.01395199999999</v>
          </cell>
        </row>
        <row r="123">
          <cell r="E123" t="str">
            <v>-</v>
          </cell>
          <cell r="F123" t="str">
            <v>-</v>
          </cell>
        </row>
        <row r="124">
          <cell r="A124" t="str">
            <v>Total Expected Revenues</v>
          </cell>
          <cell r="E124">
            <v>569.5857262336215</v>
          </cell>
          <cell r="F124">
            <v>156910.3872</v>
          </cell>
          <cell r="I124">
            <v>0</v>
          </cell>
          <cell r="J124" t="str">
            <v>sumother</v>
          </cell>
          <cell r="K124">
            <v>13445.66875415775</v>
          </cell>
        </row>
        <row r="125">
          <cell r="A125" t="str">
            <v>    less: Variable Costs</v>
          </cell>
          <cell r="E125">
            <v>457.2504100661424</v>
          </cell>
          <cell r="F125">
            <v>125964.074565677</v>
          </cell>
          <cell r="I125">
            <v>27095.04</v>
          </cell>
          <cell r="J125" t="str">
            <v>vcost1</v>
          </cell>
          <cell r="K125">
            <v>19076.353499402976</v>
          </cell>
        </row>
        <row r="126">
          <cell r="A126" t="str">
            <v>Expected Operating Margin</v>
          </cell>
          <cell r="E126">
            <v>112.33531616747906</v>
          </cell>
          <cell r="F126">
            <v>30946.312634322996</v>
          </cell>
          <cell r="I126">
            <v>129815.34719999999</v>
          </cell>
          <cell r="J126" t="str">
            <v>vcost2</v>
          </cell>
          <cell r="K126">
            <v>4744.674063955212</v>
          </cell>
        </row>
        <row r="127">
          <cell r="A127" t="str">
            <v>    less: Fixed Costs</v>
          </cell>
          <cell r="E127">
            <v>24.29</v>
          </cell>
          <cell r="F127">
            <v>6691.448063999998</v>
          </cell>
          <cell r="I127">
            <v>410176.91980431357</v>
          </cell>
          <cell r="J127" t="str">
            <v>vcost3</v>
          </cell>
          <cell r="K127">
            <v>99094.7146137474</v>
          </cell>
        </row>
        <row r="128">
          <cell r="A128" t="str">
            <v>Expected Net Revenue</v>
          </cell>
          <cell r="E128">
            <v>88.04531616747907</v>
          </cell>
          <cell r="F128">
            <v>24254.864570323</v>
          </cell>
          <cell r="I128">
            <v>410176.91980431357</v>
          </cell>
        </row>
        <row r="129">
          <cell r="I129">
            <v>280750.09360527364</v>
          </cell>
        </row>
        <row r="130">
          <cell r="A130" t="str">
            <v>Break-even dollars/head</v>
          </cell>
          <cell r="D130" t="str">
            <v>Needed to Cover:</v>
          </cell>
          <cell r="F130" t="str">
            <v>Variable Costs</v>
          </cell>
          <cell r="G130" t="str">
            <v>Total</v>
          </cell>
          <cell r="I130">
            <v>0.140625</v>
          </cell>
        </row>
        <row r="131">
          <cell r="F131" t="str">
            <v>Costs</v>
          </cell>
          <cell r="G131" t="str">
            <v>Costs</v>
          </cell>
          <cell r="I131">
            <v>395688725.12830824</v>
          </cell>
        </row>
        <row r="132">
          <cell r="F132" t="str">
            <v>-</v>
          </cell>
          <cell r="G132" t="str">
            <v>-</v>
          </cell>
        </row>
        <row r="133">
          <cell r="D133" t="str">
            <v>     Stage 1</v>
          </cell>
          <cell r="F133">
            <v>156.950958719154</v>
          </cell>
          <cell r="G133">
            <v>205.74276751915397</v>
          </cell>
          <cell r="I133">
            <v>19919.58406197647</v>
          </cell>
          <cell r="J133" t="str">
            <v>$/Hd</v>
          </cell>
          <cell r="K133">
            <v>673.7462380645278</v>
          </cell>
        </row>
        <row r="134">
          <cell r="D134" t="str">
            <v>     Stage 2</v>
          </cell>
          <cell r="F134">
            <v>501.3638394306146</v>
          </cell>
          <cell r="G134">
            <v>540.0874972083924</v>
          </cell>
          <cell r="I134">
            <v>553.3217794993465</v>
          </cell>
          <cell r="J134" t="str">
            <v>BEcatpur</v>
          </cell>
        </row>
        <row r="135">
          <cell r="D135" t="str">
            <v>     Stage 3</v>
          </cell>
          <cell r="F135">
            <v>984.4231217175831</v>
          </cell>
          <cell r="G135">
            <v>1033.043785780083</v>
          </cell>
        </row>
        <row r="136">
          <cell r="A136" t="str">
            <v>=</v>
          </cell>
          <cell r="B136" t="str">
            <v>=</v>
          </cell>
          <cell r="C136" t="str">
            <v>=</v>
          </cell>
          <cell r="D136" t="str">
            <v>=</v>
          </cell>
          <cell r="E136" t="str">
            <v>=</v>
          </cell>
          <cell r="F136" t="str">
            <v>=</v>
          </cell>
          <cell r="G136" t="str">
            <v>=</v>
          </cell>
          <cell r="H136" t="str">
            <v>=</v>
          </cell>
          <cell r="J136" t="str">
            <v> +profit</v>
          </cell>
          <cell r="K136" t="str">
            <v> ¬ price</v>
          </cell>
        </row>
        <row r="137">
          <cell r="B137" t="str">
            <v>Chance of at least breaking even       ==&gt;</v>
          </cell>
          <cell r="G137">
            <v>0.8883193635552</v>
          </cell>
        </row>
        <row r="138">
          <cell r="B138" t="str">
            <v>Chance of at least</v>
          </cell>
          <cell r="D138">
            <v>110</v>
          </cell>
          <cell r="E138" t="str">
            <v>$/hd return ==&gt;</v>
          </cell>
          <cell r="G138">
            <v>0.8458604676078734</v>
          </cell>
          <cell r="I138">
            <v>1.2176391080686235</v>
          </cell>
          <cell r="J138">
            <v>1.0188397763316195</v>
          </cell>
          <cell r="K138">
            <v>1.2176391080686235</v>
          </cell>
        </row>
        <row r="139">
          <cell r="B139" t="str">
            <v>Coefficient of variation               ==&gt;</v>
          </cell>
          <cell r="G139">
            <v>0.9714460071852219</v>
          </cell>
          <cell r="I139">
            <v>0.7799969857205943</v>
          </cell>
          <cell r="J139">
            <v>0.8090575732632121</v>
          </cell>
          <cell r="K139">
            <v>0.7799969857205943</v>
          </cell>
        </row>
        <row r="140">
          <cell r="I140">
            <v>0.19008935451451905</v>
          </cell>
          <cell r="J140">
            <v>0.23741258732550044</v>
          </cell>
          <cell r="K140">
            <v>0.19008935451451905</v>
          </cell>
        </row>
        <row r="141">
          <cell r="C141" t="str">
            <v>Returns: $ per</v>
          </cell>
          <cell r="E141" t="str">
            <v>Chances of at least</v>
          </cell>
          <cell r="I141">
            <v>0.11168063644479999</v>
          </cell>
          <cell r="J141">
            <v>0.15413953239212663</v>
          </cell>
          <cell r="K141">
            <v>0.11168063644479999</v>
          </cell>
        </row>
        <row r="142">
          <cell r="C142" t="str">
            <v>heifer purchased</v>
          </cell>
          <cell r="E142" t="str">
            <v>this return per head</v>
          </cell>
        </row>
        <row r="144">
          <cell r="C144">
            <v>1210.4683641788938</v>
          </cell>
          <cell r="E144" t="str">
            <v>       17 %</v>
          </cell>
        </row>
        <row r="145">
          <cell r="C145">
            <v>911.6746032492467</v>
          </cell>
          <cell r="E145" t="str">
            <v>       33 %</v>
          </cell>
        </row>
        <row r="146">
          <cell r="C146">
            <v>673.7462380645278</v>
          </cell>
          <cell r="E146" t="str">
            <v>       50 %</v>
          </cell>
        </row>
        <row r="147">
          <cell r="C147">
            <v>435.8178728798088</v>
          </cell>
          <cell r="E147" t="str">
            <v>       67 %</v>
          </cell>
        </row>
        <row r="148">
          <cell r="C148">
            <v>137.0241119501618</v>
          </cell>
          <cell r="E148" t="str">
            <v>       83 %</v>
          </cell>
        </row>
        <row r="149">
          <cell r="D149" t="str">
            <v>- End of Budget 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E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TA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BE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N"/>
    </sheetNames>
    <sheetDataSet>
      <sheetData sheetId="0">
        <row r="1">
          <cell r="A1" t="str">
            <v>Corn 1</v>
          </cell>
          <cell r="C1" t="str">
            <v>GRAIN CORN ENTERPRISE BUDGET</v>
          </cell>
          <cell r="G1" t="str">
            <v>Revised: May '98</v>
          </cell>
        </row>
        <row r="2">
          <cell r="A2">
            <v>502</v>
          </cell>
          <cell r="F2" t="str">
            <v>Profit Per Acre</v>
          </cell>
          <cell r="H2">
            <v>118.68321594062348</v>
          </cell>
        </row>
        <row r="3">
          <cell r="B3" t="str">
            <v>Number of Acres =</v>
          </cell>
          <cell r="D3">
            <v>1</v>
          </cell>
          <cell r="F3" t="str">
            <v>    1 t =</v>
          </cell>
          <cell r="G3">
            <v>39.368</v>
          </cell>
          <cell r="H3" t="str">
            <v>bu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bu/ac</v>
          </cell>
          <cell r="C7">
            <v>150</v>
          </cell>
          <cell r="E7">
            <v>130</v>
          </cell>
          <cell r="G7">
            <v>90</v>
          </cell>
        </row>
        <row r="8">
          <cell r="A8" t="str">
            <v>Price - $/bu</v>
          </cell>
          <cell r="C8">
            <v>4.22</v>
          </cell>
          <cell r="E8">
            <v>3.44</v>
          </cell>
          <cell r="G8">
            <v>2.67</v>
          </cell>
        </row>
        <row r="9">
          <cell r="A9" t="str">
            <v>Production - bu</v>
          </cell>
          <cell r="C9">
            <v>150</v>
          </cell>
          <cell r="E9">
            <v>130</v>
          </cell>
          <cell r="G9">
            <v>90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13.349808004532308</v>
          </cell>
          <cell r="E13" t="str">
            <v>   C.I. Premium/ac:</v>
          </cell>
          <cell r="H13">
            <v>13.05</v>
          </cell>
          <cell r="K13">
            <v>40.453963650097904</v>
          </cell>
        </row>
        <row r="14">
          <cell r="A14" t="str">
            <v> Guaranteed Price/bu</v>
          </cell>
          <cell r="D14">
            <v>3.444</v>
          </cell>
          <cell r="E14" t="str">
            <v>   Level of Coverage</v>
          </cell>
          <cell r="H14">
            <v>0.85</v>
          </cell>
          <cell r="K14">
            <v>56.488294452697446</v>
          </cell>
        </row>
        <row r="15">
          <cell r="A15" t="str">
            <v> Probability of a payout</v>
          </cell>
          <cell r="D15">
            <v>0.5020466363275756</v>
          </cell>
          <cell r="E15" t="str">
            <v>   Guaranteed Yield/ac.</v>
          </cell>
          <cell r="H15">
            <v>110.5</v>
          </cell>
          <cell r="K15">
            <v>333.50507851207396</v>
          </cell>
        </row>
        <row r="16">
          <cell r="A16" t="str">
            <v> Expected Payout/ac</v>
          </cell>
          <cell r="D16">
            <v>40.453963650097904</v>
          </cell>
          <cell r="E16" t="str">
            <v>   Probability of a payout</v>
          </cell>
          <cell r="H16">
            <v>0.2578475956340074</v>
          </cell>
          <cell r="K16">
            <v>51.5</v>
          </cell>
        </row>
        <row r="17">
          <cell r="D17">
            <v>0.5020466363275756</v>
          </cell>
          <cell r="E17" t="str">
            <v>   Expected Payout/ac</v>
          </cell>
          <cell r="H17">
            <v>16.034330802599538</v>
          </cell>
          <cell r="K17">
            <v>447.2</v>
          </cell>
        </row>
        <row r="18">
          <cell r="H18">
            <v>0.2578475956340074</v>
          </cell>
          <cell r="K18">
            <v>169.2198943451123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3.3021743548059335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135.42592000000002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---------</v>
          </cell>
          <cell r="G22" t="str">
            <v>  ------</v>
          </cell>
          <cell r="H22" t="str">
            <v>  ------</v>
          </cell>
          <cell r="K22">
            <v>1</v>
          </cell>
        </row>
        <row r="23">
          <cell r="A23" t="str">
            <v>Variable Costs:</v>
          </cell>
          <cell r="K23">
            <v>47.1</v>
          </cell>
        </row>
        <row r="24">
          <cell r="A24" t="str">
            <v> Seed </v>
          </cell>
          <cell r="D24" t="str">
            <v>M-kernel</v>
          </cell>
          <cell r="E24">
            <v>30</v>
          </cell>
          <cell r="F24">
            <v>1.57</v>
          </cell>
          <cell r="G24">
            <v>47.1</v>
          </cell>
          <cell r="H24">
            <v>47.1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A26" t="str">
            <v> Fertilizer   #1</v>
          </cell>
          <cell r="C26" t="str">
            <v>11-52-0</v>
          </cell>
          <cell r="D26" t="str">
            <v>kg</v>
          </cell>
          <cell r="E26">
            <v>28</v>
          </cell>
          <cell r="F26">
            <v>0.448</v>
          </cell>
          <cell r="G26">
            <v>12.544</v>
          </cell>
          <cell r="H26">
            <v>12.544</v>
          </cell>
          <cell r="K26">
            <v>90.40915569809052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32</v>
          </cell>
          <cell r="F27">
            <v>0.24</v>
          </cell>
          <cell r="G27">
            <v>7.68</v>
          </cell>
          <cell r="H27">
            <v>7.68</v>
          </cell>
          <cell r="K27">
            <v>1.3208697419223734</v>
          </cell>
        </row>
        <row r="28">
          <cell r="A28" t="str">
            <v>              #3</v>
          </cell>
          <cell r="C28" t="str">
            <v>28-0-0</v>
          </cell>
          <cell r="D28" t="str">
            <v>kg</v>
          </cell>
          <cell r="E28">
            <v>202</v>
          </cell>
          <cell r="F28">
            <v>0.225</v>
          </cell>
          <cell r="G28">
            <v>45.45</v>
          </cell>
          <cell r="H28">
            <v>45.45</v>
          </cell>
          <cell r="K28">
            <v>0</v>
          </cell>
        </row>
        <row r="30">
          <cell r="D30" t="str">
            <v>Unit/Acre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  <cell r="J30" t="str">
            <v>Grip prob factor (component of grip)</v>
          </cell>
          <cell r="K30">
            <v>0.9982829935483871</v>
          </cell>
        </row>
        <row r="31">
          <cell r="A31" t="str">
            <v> Herbicide </v>
          </cell>
          <cell r="D31" t="str">
            <v>-------</v>
          </cell>
          <cell r="E31" t="str">
            <v>  ------</v>
          </cell>
          <cell r="F31" t="str">
            <v>---------</v>
          </cell>
          <cell r="G31" t="str">
            <v>  ------</v>
          </cell>
          <cell r="H31" t="str">
            <v>  ------</v>
          </cell>
        </row>
        <row r="32">
          <cell r="A32" t="str">
            <v>   Annual Grasses</v>
          </cell>
          <cell r="D32" t="str">
            <v>kg or l</v>
          </cell>
          <cell r="E32">
            <v>1</v>
          </cell>
          <cell r="F32">
            <v>20</v>
          </cell>
          <cell r="G32">
            <v>20</v>
          </cell>
          <cell r="H32">
            <v>20</v>
          </cell>
          <cell r="J32" t="str">
            <v>C.I. prob factor (component of Crop Insurance)</v>
          </cell>
          <cell r="K32">
            <v>1.2162355</v>
          </cell>
        </row>
        <row r="33">
          <cell r="A33" t="str">
            <v>   Broadleaf Herbicides</v>
          </cell>
          <cell r="D33" t="str">
            <v>kg or l</v>
          </cell>
          <cell r="E33">
            <v>0.3</v>
          </cell>
          <cell r="F33">
            <v>28</v>
          </cell>
          <cell r="G33">
            <v>8.4</v>
          </cell>
          <cell r="H33">
            <v>8.4</v>
          </cell>
          <cell r="K33">
            <v>13.05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26.39980800453231</v>
          </cell>
        </row>
        <row r="35">
          <cell r="A35" t="str">
            <v> Insecticides</v>
          </cell>
          <cell r="D35" t="str">
            <v>kg or l</v>
          </cell>
          <cell r="E35">
            <v>2.8</v>
          </cell>
          <cell r="F35">
            <v>5.4</v>
          </cell>
          <cell r="G35">
            <v>15.12</v>
          </cell>
          <cell r="H35">
            <v>15.12</v>
          </cell>
        </row>
        <row r="36">
          <cell r="A36" t="str">
            <v> Fungicides</v>
          </cell>
          <cell r="D36" t="str">
            <v>kg or 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Crop Insurance</v>
          </cell>
          <cell r="D37" t="str">
            <v>Insurance</v>
          </cell>
          <cell r="E37">
            <v>1</v>
          </cell>
          <cell r="F37">
            <v>13.05</v>
          </cell>
          <cell r="G37">
            <v>13.05</v>
          </cell>
          <cell r="H37">
            <v>13.05</v>
          </cell>
        </row>
        <row r="38">
          <cell r="A38" t="str">
            <v> Market Revenue Insurance</v>
          </cell>
          <cell r="D38" t="str">
            <v>Insurance</v>
          </cell>
          <cell r="E38">
            <v>1</v>
          </cell>
          <cell r="F38">
            <v>13.349808004532308</v>
          </cell>
          <cell r="G38">
            <v>13.349808004532308</v>
          </cell>
          <cell r="H38">
            <v>13.349808004532308</v>
          </cell>
        </row>
        <row r="39">
          <cell r="A39" t="str">
            <v> Custom Work  #1</v>
          </cell>
          <cell r="C39" t="str">
            <v>     Combine</v>
          </cell>
          <cell r="E39">
            <v>0</v>
          </cell>
          <cell r="F39">
            <v>31</v>
          </cell>
          <cell r="G39">
            <v>0</v>
          </cell>
          <cell r="H39">
            <v>0</v>
          </cell>
        </row>
        <row r="40">
          <cell r="A40" t="str">
            <v>              #2</v>
          </cell>
          <cell r="C40" t="str">
            <v>     Nitr. Applic.</v>
          </cell>
          <cell r="E40">
            <v>0</v>
          </cell>
          <cell r="F40">
            <v>8</v>
          </cell>
          <cell r="G40">
            <v>0</v>
          </cell>
          <cell r="H40">
            <v>0</v>
          </cell>
        </row>
        <row r="41">
          <cell r="A41" t="str">
            <v> Drying 8 Points</v>
          </cell>
          <cell r="D41" t="str">
            <v>tonnes</v>
          </cell>
          <cell r="E41">
            <v>3.632391790286527</v>
          </cell>
          <cell r="F41">
            <v>11.84</v>
          </cell>
          <cell r="G41">
            <v>43.00751879699248</v>
          </cell>
          <cell r="H41">
            <v>43.00751879699248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3.3021743548059335</v>
          </cell>
          <cell r="F43">
            <v>6.36</v>
          </cell>
          <cell r="G43">
            <v>21.001828896565737</v>
          </cell>
          <cell r="H43">
            <v>21.001828896565737</v>
          </cell>
        </row>
        <row r="44">
          <cell r="A44" t="str">
            <v> Marketing Fees</v>
          </cell>
          <cell r="D44" t="str">
            <v>tonnes</v>
          </cell>
          <cell r="E44">
            <v>3.3021743548059335</v>
          </cell>
          <cell r="F44">
            <v>0.4</v>
          </cell>
          <cell r="G44">
            <v>1.3208697419223734</v>
          </cell>
          <cell r="H44">
            <v>1.3208697419223734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14</v>
          </cell>
          <cell r="E53">
            <v>0</v>
          </cell>
          <cell r="G53">
            <v>14</v>
          </cell>
          <cell r="H53">
            <v>14</v>
          </cell>
          <cell r="K53" t="str">
            <v>Wfarm!L8</v>
          </cell>
        </row>
        <row r="54">
          <cell r="A54" t="str">
            <v> Mach. Repair &amp; Maint.</v>
          </cell>
          <cell r="D54">
            <v>19</v>
          </cell>
          <cell r="E54">
            <v>0</v>
          </cell>
          <cell r="G54">
            <v>19</v>
          </cell>
          <cell r="H54">
            <v>19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8</v>
          </cell>
          <cell r="H55">
            <v>8</v>
          </cell>
        </row>
        <row r="56">
          <cell r="A56" t="str">
            <v> Rent and Labour</v>
          </cell>
          <cell r="D56">
            <v>16</v>
          </cell>
          <cell r="E56">
            <v>0</v>
          </cell>
          <cell r="G56">
            <v>16</v>
          </cell>
          <cell r="H56">
            <v>16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15</v>
          </cell>
          <cell r="H57">
            <v>15</v>
          </cell>
          <cell r="J57">
            <v>11.968553072060994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50</v>
          </cell>
          <cell r="E59">
            <v>0</v>
          </cell>
          <cell r="G59">
            <v>11.968553072060994</v>
          </cell>
          <cell r="H59">
            <v>11.968553072060994</v>
          </cell>
        </row>
        <row r="60">
          <cell r="G60" t="str">
            <v>  ------</v>
          </cell>
          <cell r="H60" t="str">
            <v>  ------</v>
          </cell>
        </row>
        <row r="61">
          <cell r="A61" t="str">
            <v>Total Variable Costs</v>
          </cell>
          <cell r="G61">
            <v>333.50507851207396</v>
          </cell>
          <cell r="H61">
            <v>333.50507851207396</v>
          </cell>
        </row>
        <row r="63">
          <cell r="D63" t="str">
            <v>Typical</v>
          </cell>
          <cell r="E63" t="str">
            <v> Enterprise</v>
          </cell>
          <cell r="K63" t="str">
            <v>Wfarm!K4</v>
          </cell>
        </row>
        <row r="64">
          <cell r="A64" t="str">
            <v>Fixed Costs:</v>
          </cell>
          <cell r="D64" t="str">
            <v> $/Acre</v>
          </cell>
          <cell r="E64" t="str">
            <v> $ Allocated</v>
          </cell>
          <cell r="G64" t="str">
            <v>$/Acre</v>
          </cell>
          <cell r="H64" t="str">
            <v>$/Year</v>
          </cell>
          <cell r="K64" t="str">
            <v>Wfarm!K5</v>
          </cell>
        </row>
        <row r="65">
          <cell r="A65" t="str">
            <v> Depreciation</v>
          </cell>
          <cell r="D65">
            <v>29</v>
          </cell>
          <cell r="E65">
            <v>0</v>
          </cell>
          <cell r="G65">
            <v>29</v>
          </cell>
          <cell r="H65">
            <v>29</v>
          </cell>
          <cell r="K65" t="str">
            <v>Wfarm!K6</v>
          </cell>
        </row>
        <row r="66">
          <cell r="A66" t="str">
            <v> Interest on Term Loans</v>
          </cell>
          <cell r="D66">
            <v>17.5</v>
          </cell>
          <cell r="E66">
            <v>0</v>
          </cell>
          <cell r="G66">
            <v>17.5</v>
          </cell>
          <cell r="H66">
            <v>17.5</v>
          </cell>
          <cell r="K66" t="str">
            <v>Wfarm!K7</v>
          </cell>
        </row>
        <row r="67">
          <cell r="A67" t="str">
            <v> Long-term Leases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General Fixed Costs</v>
          </cell>
          <cell r="D68">
            <v>5</v>
          </cell>
          <cell r="E68">
            <v>0</v>
          </cell>
          <cell r="G68">
            <v>5</v>
          </cell>
          <cell r="H68">
            <v>5</v>
          </cell>
        </row>
        <row r="69">
          <cell r="G69" t="str">
            <v>  ------</v>
          </cell>
          <cell r="H69" t="str">
            <v>  ------</v>
          </cell>
        </row>
        <row r="70">
          <cell r="A70" t="str">
            <v>Total Fixed Costs</v>
          </cell>
          <cell r="G70">
            <v>51.5</v>
          </cell>
          <cell r="H70">
            <v>51.5</v>
          </cell>
        </row>
        <row r="72">
          <cell r="A72" t="str">
            <v>Revenues:</v>
          </cell>
          <cell r="E72" t="str">
            <v>$/Acre</v>
          </cell>
          <cell r="F72" t="str">
            <v>$/Year</v>
          </cell>
        </row>
        <row r="73">
          <cell r="A73" t="str">
            <v>Total Expected Revenues</v>
          </cell>
          <cell r="E73">
            <v>447.2</v>
          </cell>
          <cell r="F73">
            <v>447.2</v>
          </cell>
        </row>
        <row r="74">
          <cell r="A74" t="str">
            <v>    add: Expected Insurance Revenues</v>
          </cell>
          <cell r="E74">
            <v>56.488294452697446</v>
          </cell>
          <cell r="F74">
            <v>56.488294452697446</v>
          </cell>
        </row>
        <row r="75">
          <cell r="A75" t="str">
            <v>    less: Variable Costs</v>
          </cell>
          <cell r="E75">
            <v>333.50507851207396</v>
          </cell>
          <cell r="F75">
            <v>333.50507851207396</v>
          </cell>
        </row>
        <row r="76">
          <cell r="E76" t="str">
            <v>  ------</v>
          </cell>
          <cell r="F76" t="str">
            <v>  ------</v>
          </cell>
        </row>
        <row r="77">
          <cell r="A77" t="str">
            <v>Expected Operating Margin</v>
          </cell>
          <cell r="E77">
            <v>170.18321594062348</v>
          </cell>
          <cell r="F77">
            <v>170.18321594062348</v>
          </cell>
        </row>
        <row r="78">
          <cell r="A78" t="str">
            <v>    less: Fixed Costs</v>
          </cell>
          <cell r="E78">
            <v>51.5</v>
          </cell>
          <cell r="F78">
            <v>51.5</v>
          </cell>
        </row>
        <row r="79">
          <cell r="E79" t="str">
            <v>  ------</v>
          </cell>
          <cell r="F79" t="str">
            <v>  ------</v>
          </cell>
        </row>
        <row r="80">
          <cell r="A80" t="str">
            <v>Expected Net Revenue</v>
          </cell>
          <cell r="E80">
            <v>118.68321594062348</v>
          </cell>
          <cell r="F80">
            <v>118.68321594062348</v>
          </cell>
        </row>
        <row r="82">
          <cell r="A82" t="str">
            <v>         Break-even $/bu to cover:</v>
          </cell>
          <cell r="E82" t="str">
            <v>Variable Costs</v>
          </cell>
          <cell r="G82">
            <v>2.5654236808621076</v>
          </cell>
        </row>
        <row r="83">
          <cell r="E83" t="str">
            <v>Fixed Costs</v>
          </cell>
          <cell r="G83">
            <v>0.39615384615384613</v>
          </cell>
        </row>
        <row r="84">
          <cell r="G84" t="str">
            <v>  ------</v>
          </cell>
        </row>
        <row r="85">
          <cell r="E85" t="str">
            <v>Total Costs</v>
          </cell>
          <cell r="G85">
            <v>2.9615775270159537</v>
          </cell>
        </row>
        <row r="86">
          <cell r="A86" t="str">
            <v>=</v>
          </cell>
          <cell r="B86" t="str">
            <v>=</v>
          </cell>
          <cell r="C86" t="str">
            <v>=</v>
          </cell>
          <cell r="D86" t="str">
            <v>=</v>
          </cell>
          <cell r="E86" t="str">
            <v>=</v>
          </cell>
          <cell r="F86" t="str">
            <v>=</v>
          </cell>
          <cell r="G86" t="str">
            <v>=</v>
          </cell>
          <cell r="H86" t="str">
            <v>=</v>
          </cell>
        </row>
        <row r="87">
          <cell r="B87" t="str">
            <v>Chance of at least breaking even          ==&gt;</v>
          </cell>
          <cell r="G87">
            <v>0.7584593192605316</v>
          </cell>
        </row>
        <row r="88">
          <cell r="B88" t="str">
            <v>Chance of at least</v>
          </cell>
          <cell r="D88">
            <v>0</v>
          </cell>
          <cell r="E88" t="str">
            <v>$/acre return  ==&gt;</v>
          </cell>
          <cell r="G88">
            <v>0.7584593192605316</v>
          </cell>
          <cell r="I88">
            <v>118.68321594062348</v>
          </cell>
        </row>
        <row r="89">
          <cell r="B89" t="str">
            <v>Coefficient of variation                  ==&gt;</v>
          </cell>
          <cell r="G89">
            <v>0.3783986903960472</v>
          </cell>
          <cell r="I89">
            <v>45.173092999999994</v>
          </cell>
        </row>
        <row r="90">
          <cell r="H90" t="str">
            <v>mn</v>
          </cell>
          <cell r="I90">
            <v>0.48675626999999977</v>
          </cell>
        </row>
        <row r="91">
          <cell r="C91" t="str">
            <v>Returns $/acre</v>
          </cell>
          <cell r="E91" t="str">
            <v>Chances of at least</v>
          </cell>
          <cell r="H91" t="str">
            <v>ystd</v>
          </cell>
          <cell r="I91">
            <v>169.2198943451123</v>
          </cell>
        </row>
        <row r="92">
          <cell r="E92" t="str">
            <v>this return per acre</v>
          </cell>
          <cell r="H92" t="str">
            <v>pstd</v>
          </cell>
        </row>
        <row r="93">
          <cell r="C93">
            <v>282.8265134553824</v>
          </cell>
          <cell r="E93" t="str">
            <v>       17 %</v>
          </cell>
          <cell r="I93">
            <v>0.7013549819300635</v>
          </cell>
          <cell r="J93">
            <v>0.7013549819300635</v>
          </cell>
        </row>
        <row r="94">
          <cell r="C94">
            <v>191.44777050902178</v>
          </cell>
          <cell r="E94" t="str">
            <v>       33 %</v>
          </cell>
          <cell r="H94" t="str">
            <v>z</v>
          </cell>
          <cell r="I94">
            <v>0.8602422850835503</v>
          </cell>
          <cell r="J94">
            <v>0.8602422850835503</v>
          </cell>
        </row>
        <row r="95">
          <cell r="C95">
            <v>118.68321594062348</v>
          </cell>
          <cell r="E95" t="str">
            <v>       50 %</v>
          </cell>
          <cell r="H95" t="str">
            <v>v1</v>
          </cell>
          <cell r="I95">
            <v>0.3119576189670534</v>
          </cell>
          <cell r="J95">
            <v>0.3119576189670534</v>
          </cell>
        </row>
        <row r="96">
          <cell r="C96">
            <v>45.9186613722252</v>
          </cell>
          <cell r="E96" t="str">
            <v>       67 %</v>
          </cell>
          <cell r="H96" t="str">
            <v>v2</v>
          </cell>
          <cell r="I96">
            <v>0.24154068073946844</v>
          </cell>
          <cell r="J96">
            <v>0.24154068073946844</v>
          </cell>
        </row>
        <row r="97">
          <cell r="C97">
            <v>-45.460081574135444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AXB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P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LAGE"/>
    </sheetNames>
    <sheetDataSet>
      <sheetData sheetId="0">
        <row r="1">
          <cell r="A1" t="str">
            <v>Silage 1</v>
          </cell>
          <cell r="C1" t="str">
            <v>CORN SILAGE ENTERPRISE BUDGET</v>
          </cell>
          <cell r="G1" t="str">
            <v>Revised: May '98</v>
          </cell>
        </row>
        <row r="2">
          <cell r="A2">
            <v>701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  <cell r="F3" t="str">
            <v>1 tonne =</v>
          </cell>
          <cell r="G3">
            <v>1.1023</v>
          </cell>
          <cell r="H3" t="str">
            <v>ton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tonne/acre</v>
          </cell>
          <cell r="C7">
            <v>16</v>
          </cell>
          <cell r="E7">
            <v>12.5</v>
          </cell>
          <cell r="G7">
            <v>11.4</v>
          </cell>
        </row>
        <row r="8">
          <cell r="A8" t="str">
            <v>Price - $/tonne</v>
          </cell>
          <cell r="C8">
            <v>27.83</v>
          </cell>
          <cell r="E8">
            <v>26.25</v>
          </cell>
          <cell r="G8">
            <v>25.3</v>
          </cell>
        </row>
        <row r="9">
          <cell r="A9" t="str">
            <v>Production - tonne</v>
          </cell>
          <cell r="C9">
            <v>16</v>
          </cell>
          <cell r="E9">
            <v>12.5</v>
          </cell>
          <cell r="G9">
            <v>11.4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0.008298442822155591</v>
          </cell>
          <cell r="E13" t="str">
            <v>   C.I. Premium/ac:</v>
          </cell>
          <cell r="H13">
            <v>13.05</v>
          </cell>
          <cell r="K13">
            <v>0.02514679643077452</v>
          </cell>
        </row>
        <row r="14">
          <cell r="A14" t="str">
            <v> Guaranteed Price/bu</v>
          </cell>
          <cell r="D14">
            <v>23</v>
          </cell>
          <cell r="E14" t="str">
            <v>   Level of Coverage</v>
          </cell>
          <cell r="H14">
            <v>0.85</v>
          </cell>
          <cell r="K14">
            <v>7.090262562564263</v>
          </cell>
        </row>
        <row r="15">
          <cell r="A15" t="str">
            <v> Probability of a payout</v>
          </cell>
          <cell r="D15">
            <v>0.0051064266261023235</v>
          </cell>
          <cell r="E15" t="str">
            <v>   Guaranteed Yield/ac.</v>
          </cell>
          <cell r="H15">
            <v>10.625</v>
          </cell>
          <cell r="K15" t="e">
            <v>#REF!</v>
          </cell>
        </row>
        <row r="16">
          <cell r="A16" t="str">
            <v> Expected Payout/ac</v>
          </cell>
          <cell r="D16">
            <v>0.02514679643077452</v>
          </cell>
          <cell r="E16" t="str">
            <v>   Probability of a payout</v>
          </cell>
          <cell r="H16">
            <v>0.2074692832694126</v>
          </cell>
          <cell r="K16" t="e">
            <v>#REF!</v>
          </cell>
        </row>
        <row r="17">
          <cell r="D17">
            <v>0.0051064266261023235</v>
          </cell>
          <cell r="E17" t="str">
            <v>   Expected Payout/ac</v>
          </cell>
          <cell r="H17">
            <v>7.065115766133489</v>
          </cell>
          <cell r="K17">
            <v>328.125</v>
          </cell>
        </row>
        <row r="18">
          <cell r="H18">
            <v>0.2074692832694126</v>
          </cell>
          <cell r="K18">
            <v>101.04864041674843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12.5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26.25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</v>
          </cell>
          <cell r="G22" t="str">
            <v>  -------</v>
          </cell>
          <cell r="H22" t="str">
            <v>  -------</v>
          </cell>
          <cell r="K22">
            <v>1</v>
          </cell>
        </row>
        <row r="23">
          <cell r="A23" t="str">
            <v>Variable Costs:</v>
          </cell>
          <cell r="K23">
            <v>35.339999999999996</v>
          </cell>
        </row>
        <row r="24">
          <cell r="A24" t="str">
            <v> Seed </v>
          </cell>
          <cell r="D24" t="str">
            <v>M-kernel</v>
          </cell>
          <cell r="E24">
            <v>31</v>
          </cell>
          <cell r="F24">
            <v>1.14</v>
          </cell>
          <cell r="G24">
            <v>35.339999999999996</v>
          </cell>
          <cell r="H24">
            <v>35.339999999999996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K26">
            <v>13.058298442822156</v>
          </cell>
        </row>
        <row r="27">
          <cell r="A27" t="str">
            <v> Fertilizer   #1</v>
          </cell>
          <cell r="C27" t="str">
            <v>11-52-0</v>
          </cell>
          <cell r="D27" t="str">
            <v>kg</v>
          </cell>
          <cell r="E27">
            <v>28</v>
          </cell>
          <cell r="F27">
            <v>0.448</v>
          </cell>
          <cell r="G27">
            <v>12.544</v>
          </cell>
          <cell r="H27">
            <v>12.544</v>
          </cell>
          <cell r="K27">
            <v>0</v>
          </cell>
        </row>
        <row r="28">
          <cell r="A28" t="str">
            <v>              #2</v>
          </cell>
          <cell r="C28" t="str">
            <v>0-0-60</v>
          </cell>
          <cell r="D28" t="str">
            <v>kg</v>
          </cell>
          <cell r="E28">
            <v>32</v>
          </cell>
          <cell r="F28">
            <v>0.24</v>
          </cell>
          <cell r="G28">
            <v>7.68</v>
          </cell>
          <cell r="H28">
            <v>7.68</v>
          </cell>
          <cell r="K28">
            <v>0</v>
          </cell>
        </row>
        <row r="29">
          <cell r="A29" t="str">
            <v>              #3</v>
          </cell>
          <cell r="C29" t="str">
            <v>28-0-0</v>
          </cell>
          <cell r="D29" t="str">
            <v>kg</v>
          </cell>
          <cell r="E29">
            <v>202</v>
          </cell>
          <cell r="F29">
            <v>0.225</v>
          </cell>
          <cell r="G29">
            <v>45.45</v>
          </cell>
          <cell r="H29">
            <v>45.45</v>
          </cell>
        </row>
        <row r="30">
          <cell r="J30" t="str">
            <v>Grip prob factor (component of grip)</v>
          </cell>
          <cell r="K30">
            <v>1.8546857707509892</v>
          </cell>
        </row>
        <row r="31">
          <cell r="D31" t="str">
            <v>Unit/Ac</v>
          </cell>
          <cell r="E31" t="str">
            <v>Number</v>
          </cell>
          <cell r="F31" t="str">
            <v>Cost/Unit</v>
          </cell>
          <cell r="G31" t="str">
            <v>$/Acre</v>
          </cell>
          <cell r="H31" t="str">
            <v>$/Year</v>
          </cell>
          <cell r="J31" t="str">
            <v>C.I. prob factor (component of Crop Insurance)</v>
          </cell>
          <cell r="K31">
            <v>1.2711983695652174</v>
          </cell>
        </row>
        <row r="32">
          <cell r="A32" t="str">
            <v> Herbicide </v>
          </cell>
          <cell r="D32" t="str">
            <v>-------</v>
          </cell>
          <cell r="E32" t="str">
            <v>  ------</v>
          </cell>
          <cell r="F32" t="str">
            <v>-</v>
          </cell>
          <cell r="G32" t="str">
            <v>  -------</v>
          </cell>
          <cell r="H32" t="str">
            <v>  -------</v>
          </cell>
        </row>
        <row r="33">
          <cell r="A33" t="str">
            <v>   Annual Grasses</v>
          </cell>
          <cell r="D33" t="str">
            <v>kg or l</v>
          </cell>
          <cell r="E33">
            <v>1</v>
          </cell>
          <cell r="F33">
            <v>20</v>
          </cell>
          <cell r="G33">
            <v>20</v>
          </cell>
          <cell r="H33">
            <v>20</v>
          </cell>
          <cell r="K33">
            <v>13.05</v>
          </cell>
        </row>
        <row r="34">
          <cell r="A34" t="str">
            <v>   Broadleaf Herbicides</v>
          </cell>
          <cell r="D34" t="str">
            <v>kg or l</v>
          </cell>
          <cell r="E34">
            <v>0.3</v>
          </cell>
          <cell r="F34">
            <v>28</v>
          </cell>
          <cell r="G34">
            <v>8.4</v>
          </cell>
          <cell r="H34">
            <v>8.4</v>
          </cell>
          <cell r="K34">
            <v>13.058298442822156</v>
          </cell>
        </row>
        <row r="35">
          <cell r="A35" t="str">
            <v>   Other Herbicides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Insecticides</v>
          </cell>
          <cell r="D36" t="str">
            <v>kg or l</v>
          </cell>
          <cell r="E36">
            <v>2.8</v>
          </cell>
          <cell r="F36">
            <v>5.4</v>
          </cell>
          <cell r="G36">
            <v>15.12</v>
          </cell>
          <cell r="H36">
            <v>15.12</v>
          </cell>
        </row>
        <row r="37">
          <cell r="A37" t="str">
            <v> Fungicides</v>
          </cell>
          <cell r="D37" t="str">
            <v>kg or 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Crop Insurance</v>
          </cell>
          <cell r="D38" t="str">
            <v>Insurance</v>
          </cell>
          <cell r="E38">
            <v>1</v>
          </cell>
          <cell r="F38">
            <v>13.05</v>
          </cell>
          <cell r="G38">
            <v>13.05</v>
          </cell>
          <cell r="H38">
            <v>13.05</v>
          </cell>
        </row>
        <row r="39">
          <cell r="A39" t="str">
            <v> Market Revenue Insurance</v>
          </cell>
          <cell r="D39" t="str">
            <v>Insurance</v>
          </cell>
          <cell r="E39">
            <v>1</v>
          </cell>
          <cell r="F39">
            <v>0.008298442822155591</v>
          </cell>
          <cell r="G39">
            <v>0.008298442822155591</v>
          </cell>
          <cell r="H39">
            <v>0.008298442822155591</v>
          </cell>
        </row>
        <row r="40">
          <cell r="A40" t="str">
            <v> Custom Work  #1</v>
          </cell>
          <cell r="C40" t="str">
            <v>Silo fill        </v>
          </cell>
          <cell r="E40">
            <v>0</v>
          </cell>
          <cell r="F40">
            <v>42</v>
          </cell>
          <cell r="G40">
            <v>0</v>
          </cell>
          <cell r="H40">
            <v>0</v>
          </cell>
        </row>
        <row r="41">
          <cell r="A41" t="str">
            <v>              #2</v>
          </cell>
          <cell r="C41" t="str">
            <v>Apply Nitrogen</v>
          </cell>
          <cell r="E41">
            <v>0</v>
          </cell>
          <cell r="F41">
            <v>8</v>
          </cell>
          <cell r="G41">
            <v>0</v>
          </cell>
          <cell r="H41">
            <v>0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12.5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Marketing Fees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20</v>
          </cell>
          <cell r="E53" t="e">
            <v>#REF!</v>
          </cell>
          <cell r="G53" t="e">
            <v>#REF!</v>
          </cell>
          <cell r="H53" t="e">
            <v>#REF!</v>
          </cell>
          <cell r="K53" t="str">
            <v>Wfarm!L8</v>
          </cell>
        </row>
        <row r="54">
          <cell r="A54" t="str">
            <v> Mach. Repair &amp; Maint.</v>
          </cell>
          <cell r="D54">
            <v>20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Bldg. Repair &amp; Maint.</v>
          </cell>
          <cell r="D55">
            <v>8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Rent and Labour</v>
          </cell>
          <cell r="D56">
            <v>16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A57" t="str">
            <v> General Variable Costs</v>
          </cell>
          <cell r="D57">
            <v>15</v>
          </cell>
          <cell r="E57" t="e">
            <v>#REF!</v>
          </cell>
          <cell r="G57" t="e">
            <v>#REF!</v>
          </cell>
          <cell r="H57" t="e">
            <v>#REF!</v>
          </cell>
          <cell r="J57" t="e">
            <v>#REF!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40</v>
          </cell>
          <cell r="E59" t="e">
            <v>#REF!</v>
          </cell>
          <cell r="G59" t="e">
            <v>#REF!</v>
          </cell>
          <cell r="H59" t="e">
            <v>#REF!</v>
          </cell>
        </row>
        <row r="60">
          <cell r="G60" t="str">
            <v>  -------</v>
          </cell>
          <cell r="H60" t="str">
            <v>  -------</v>
          </cell>
        </row>
        <row r="61">
          <cell r="A61" t="str">
            <v>Total Variable Costs</v>
          </cell>
          <cell r="G61" t="e">
            <v>#REF!</v>
          </cell>
          <cell r="H61" t="e">
            <v>#REF!</v>
          </cell>
        </row>
        <row r="62">
          <cell r="D62" t="str">
            <v>Typical</v>
          </cell>
          <cell r="E62" t="str">
            <v> Enterprise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Wfarm!K4</v>
          </cell>
        </row>
        <row r="64">
          <cell r="A64" t="str">
            <v> Depreciation</v>
          </cell>
          <cell r="D64">
            <v>31</v>
          </cell>
          <cell r="E64" t="e">
            <v>#REF!</v>
          </cell>
          <cell r="G64" t="e">
            <v>#REF!</v>
          </cell>
          <cell r="H64" t="e">
            <v>#REF!</v>
          </cell>
          <cell r="K64" t="str">
            <v>Wfarm!K5</v>
          </cell>
        </row>
        <row r="65">
          <cell r="A65" t="str">
            <v> Interest on Term Loans</v>
          </cell>
          <cell r="D65">
            <v>19</v>
          </cell>
          <cell r="E65" t="e">
            <v>#REF!</v>
          </cell>
          <cell r="G65" t="e">
            <v>#REF!</v>
          </cell>
          <cell r="H65" t="e">
            <v>#REF!</v>
          </cell>
          <cell r="K65" t="str">
            <v>Wfarm!K6</v>
          </cell>
        </row>
        <row r="66">
          <cell r="A66" t="str">
            <v> Long-term Leases</v>
          </cell>
          <cell r="D66">
            <v>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Wfarm!K7</v>
          </cell>
        </row>
        <row r="67">
          <cell r="A67" t="str">
            <v> General Fixed Costs</v>
          </cell>
          <cell r="D67">
            <v>5.5</v>
          </cell>
          <cell r="E67" t="e">
            <v>#REF!</v>
          </cell>
          <cell r="G67" t="e">
            <v>#REF!</v>
          </cell>
          <cell r="H67" t="e">
            <v>#REF!</v>
          </cell>
        </row>
        <row r="68">
          <cell r="G68" t="str">
            <v>  -------</v>
          </cell>
          <cell r="H68" t="str">
            <v>  -------</v>
          </cell>
        </row>
        <row r="69">
          <cell r="A69" t="str">
            <v>Total Fixed Costs</v>
          </cell>
          <cell r="G69" t="e">
            <v>#REF!</v>
          </cell>
          <cell r="H69" t="e">
            <v>#REF!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328.125</v>
          </cell>
          <cell r="F72">
            <v>328.125</v>
          </cell>
        </row>
        <row r="73">
          <cell r="A73" t="str">
            <v>    add: Expected Insurance Revenues</v>
          </cell>
          <cell r="E73">
            <v>7.090262562564263</v>
          </cell>
          <cell r="F73">
            <v>7.090262562564263</v>
          </cell>
        </row>
        <row r="74">
          <cell r="A74" t="str">
            <v>    less: Variable Costs</v>
          </cell>
          <cell r="E74" t="e">
            <v>#REF!</v>
          </cell>
          <cell r="F74" t="e">
            <v>#REF!</v>
          </cell>
        </row>
        <row r="75">
          <cell r="E75" t="str">
            <v>  -------</v>
          </cell>
          <cell r="F75" t="str">
            <v>  -------</v>
          </cell>
        </row>
        <row r="76">
          <cell r="A76" t="str">
            <v>Expected Operating Margin</v>
          </cell>
          <cell r="E76" t="e">
            <v>#REF!</v>
          </cell>
          <cell r="F76" t="e">
            <v>#REF!</v>
          </cell>
        </row>
        <row r="77">
          <cell r="A77" t="str">
            <v>    less: Fixed Costs</v>
          </cell>
          <cell r="E77" t="e">
            <v>#REF!</v>
          </cell>
          <cell r="F77" t="e">
            <v>#REF!</v>
          </cell>
        </row>
        <row r="78">
          <cell r="E78" t="str">
            <v>  -------</v>
          </cell>
          <cell r="F78" t="str">
            <v>  -------</v>
          </cell>
        </row>
        <row r="79">
          <cell r="A79" t="str">
            <v>Expected Net Revenue</v>
          </cell>
          <cell r="E79" t="e">
            <v>#REF!</v>
          </cell>
          <cell r="F79" t="e">
            <v>#REF!</v>
          </cell>
        </row>
        <row r="81">
          <cell r="A81" t="str">
            <v>      Break-even $/tonne to cover:</v>
          </cell>
          <cell r="E81" t="str">
            <v>Variable Costs</v>
          </cell>
          <cell r="G81" t="e">
            <v>#REF!</v>
          </cell>
        </row>
        <row r="82">
          <cell r="E82" t="str">
            <v>Fixed Costs</v>
          </cell>
          <cell r="G82" t="e">
            <v>#REF!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 t="e">
            <v>#REF!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 t="e">
            <v>#REF!</v>
          </cell>
        </row>
        <row r="88">
          <cell r="B88" t="str">
            <v>Coefficient of variation                  ==&gt;</v>
          </cell>
          <cell r="G88">
            <v>0.30795776127009045</v>
          </cell>
        </row>
        <row r="89">
          <cell r="H89" t="str">
            <v>mn</v>
          </cell>
          <cell r="I89" t="e">
            <v>#REF!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3.796733</v>
          </cell>
        </row>
        <row r="91">
          <cell r="E91" t="str">
            <v>this return per acre</v>
          </cell>
          <cell r="H91" t="str">
            <v>pstd</v>
          </cell>
          <cell r="I91">
            <v>1.2759857499999994</v>
          </cell>
        </row>
        <row r="92">
          <cell r="H92" t="str">
            <v>nrstd</v>
          </cell>
          <cell r="I92">
            <v>101.04864041674843</v>
          </cell>
        </row>
        <row r="93">
          <cell r="C93" t="e">
            <v>#REF!</v>
          </cell>
          <cell r="E93" t="str">
            <v>       17 %</v>
          </cell>
        </row>
        <row r="94">
          <cell r="C94" t="e">
            <v>#REF!</v>
          </cell>
          <cell r="E94" t="str">
            <v>       33 %</v>
          </cell>
          <cell r="H94" t="str">
            <v>z</v>
          </cell>
          <cell r="I94" t="e">
            <v>#REF!</v>
          </cell>
          <cell r="J94" t="e">
            <v>#REF!</v>
          </cell>
        </row>
        <row r="95">
          <cell r="C95" t="e">
            <v>#REF!</v>
          </cell>
          <cell r="E95" t="str">
            <v>       50 %</v>
          </cell>
          <cell r="H95" t="str">
            <v>v1</v>
          </cell>
          <cell r="I95" t="e">
            <v>#REF!</v>
          </cell>
          <cell r="J95" t="e">
            <v>#REF!</v>
          </cell>
        </row>
        <row r="96">
          <cell r="C96" t="e">
            <v>#REF!</v>
          </cell>
          <cell r="E96" t="str">
            <v>       67 %</v>
          </cell>
          <cell r="H96" t="str">
            <v>v2</v>
          </cell>
          <cell r="I96" t="e">
            <v>#REF!</v>
          </cell>
          <cell r="J96" t="e">
            <v>#REF!</v>
          </cell>
        </row>
        <row r="97">
          <cell r="C97" t="e">
            <v>#REF!</v>
          </cell>
          <cell r="E97" t="str">
            <v>       83 %</v>
          </cell>
          <cell r="H97" t="str">
            <v>p(vx)</v>
          </cell>
          <cell r="I97" t="e">
            <v>#REF!</v>
          </cell>
          <cell r="J97" t="e">
            <v>#REF!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urkey"/>
    </sheetNames>
    <sheetDataSet>
      <sheetData sheetId="0">
        <row r="1">
          <cell r="A1" t="str">
            <v>Turkey 1</v>
          </cell>
          <cell r="C1" t="str">
            <v>TURKEY ENTERPRISE BUDGET</v>
          </cell>
          <cell r="G1" t="str">
            <v>Revised: May '98</v>
          </cell>
        </row>
        <row r="2">
          <cell r="A2">
            <v>354</v>
          </cell>
          <cell r="F2" t="str">
            <v>Profit / Kilogram:</v>
          </cell>
          <cell r="H2">
            <v>0</v>
          </cell>
        </row>
        <row r="3">
          <cell r="G3" t="str">
            <v>Revised: July 94</v>
          </cell>
        </row>
        <row r="5">
          <cell r="A5" t="str">
            <v>Basic quota units per year</v>
          </cell>
          <cell r="E5">
            <v>230000</v>
          </cell>
          <cell r="F5" t="str">
            <v>Kgs</v>
          </cell>
        </row>
        <row r="6">
          <cell r="A6" t="str">
            <v>Percentage of Quota Eligible</v>
          </cell>
          <cell r="E6">
            <v>70.25</v>
          </cell>
          <cell r="F6" t="str">
            <v>%</v>
          </cell>
        </row>
        <row r="7">
          <cell r="A7" t="str">
            <v>Required end-weight range</v>
          </cell>
          <cell r="E7">
            <v>9.2</v>
          </cell>
          <cell r="F7" t="str">
            <v>kg </v>
          </cell>
        </row>
        <row r="8">
          <cell r="A8" t="str">
            <v>Calculated total annual production:</v>
          </cell>
          <cell r="E8">
            <v>0</v>
          </cell>
          <cell r="F8" t="str">
            <v>kg </v>
          </cell>
        </row>
        <row r="10">
          <cell r="A10" t="str">
            <v>Number of cycles</v>
          </cell>
          <cell r="E10">
            <v>3</v>
          </cell>
          <cell r="F10" t="str">
            <v>per year</v>
          </cell>
        </row>
        <row r="11">
          <cell r="A11" t="str">
            <v>Weeks per cycle (incl.cleanout)</v>
          </cell>
          <cell r="E11">
            <v>17</v>
          </cell>
          <cell r="F11" t="str">
            <v>weeks/cycle</v>
          </cell>
        </row>
        <row r="12">
          <cell r="A12" t="str">
            <v>Total number weeks/year (max.54)</v>
          </cell>
          <cell r="E12">
            <v>0</v>
          </cell>
          <cell r="F12" t="str">
            <v>weeks/year</v>
          </cell>
        </row>
        <row r="13">
          <cell r="A13" t="str">
            <v>Total birds marketed</v>
          </cell>
          <cell r="E13">
            <v>0</v>
          </cell>
        </row>
        <row r="14">
          <cell r="K14">
            <v>0</v>
          </cell>
        </row>
        <row r="15">
          <cell r="A15" t="str">
            <v>&lt;&lt;Weight Range Info &gt;&gt;</v>
          </cell>
          <cell r="E15" t="str">
            <v>&lt;&lt; Quota Eligibility &gt;&gt;</v>
          </cell>
          <cell r="K15">
            <v>0</v>
          </cell>
        </row>
        <row r="16">
          <cell r="A16" t="str">
            <v>Broilers</v>
          </cell>
          <cell r="B16" t="str">
            <v>less than 6.2</v>
          </cell>
          <cell r="E16" t="str">
            <v>Broilers</v>
          </cell>
          <cell r="F16">
            <v>70.25</v>
          </cell>
          <cell r="K16">
            <v>0</v>
          </cell>
        </row>
        <row r="17">
          <cell r="A17" t="str">
            <v>Hens</v>
          </cell>
          <cell r="B17" t="str">
            <v>6.3 kgs to 9.8 kgs</v>
          </cell>
          <cell r="E17" t="str">
            <v>Hens</v>
          </cell>
          <cell r="F17">
            <v>70.25</v>
          </cell>
          <cell r="K17">
            <v>0</v>
          </cell>
        </row>
        <row r="18">
          <cell r="A18" t="str">
            <v>Toms</v>
          </cell>
          <cell r="B18" t="str">
            <v>greater than 9.9 kgs</v>
          </cell>
          <cell r="E18" t="str">
            <v>Toms</v>
          </cell>
          <cell r="F18">
            <v>76.5</v>
          </cell>
          <cell r="K18">
            <v>0</v>
          </cell>
        </row>
        <row r="20">
          <cell r="K20" t="str">
            <v>Tran!D3..G14</v>
          </cell>
        </row>
        <row r="21">
          <cell r="E21" t="str">
            <v>Opt.</v>
          </cell>
          <cell r="F21" t="str">
            <v> Expected</v>
          </cell>
          <cell r="G21" t="str">
            <v>   Pess.</v>
          </cell>
          <cell r="K21" t="str">
            <v>Allo!C3..J14</v>
          </cell>
        </row>
        <row r="22">
          <cell r="A22" t="str">
            <v>Poult cost ($'s ea.)</v>
          </cell>
          <cell r="E22">
            <v>1.35</v>
          </cell>
          <cell r="F22">
            <v>1.45</v>
          </cell>
          <cell r="G22">
            <v>1.55</v>
          </cell>
          <cell r="K22">
            <v>0</v>
          </cell>
        </row>
        <row r="23">
          <cell r="A23" t="str">
            <v>Turkey Price ($'s/kg.)</v>
          </cell>
          <cell r="E23">
            <v>1.6</v>
          </cell>
          <cell r="F23">
            <v>1.52</v>
          </cell>
          <cell r="G23">
            <v>1.45</v>
          </cell>
          <cell r="K23">
            <v>0</v>
          </cell>
        </row>
        <row r="24">
          <cell r="A24" t="str">
            <v>Death loss (including # condemned) %</v>
          </cell>
          <cell r="E24">
            <v>4</v>
          </cell>
          <cell r="F24">
            <v>8</v>
          </cell>
          <cell r="G24">
            <v>12</v>
          </cell>
          <cell r="K24">
            <v>0</v>
          </cell>
        </row>
        <row r="25">
          <cell r="A25" t="str">
            <v>Feed conversion rate</v>
          </cell>
          <cell r="E25">
            <v>2</v>
          </cell>
          <cell r="F25">
            <v>2.3</v>
          </cell>
          <cell r="G25">
            <v>2.5</v>
          </cell>
          <cell r="K25">
            <v>0</v>
          </cell>
        </row>
        <row r="26">
          <cell r="A26" t="str">
            <v>Purchased feed price ($'s per tonne)</v>
          </cell>
          <cell r="E26">
            <v>280</v>
          </cell>
          <cell r="F26">
            <v>300</v>
          </cell>
          <cell r="G26">
            <v>320</v>
          </cell>
          <cell r="K26">
            <v>0</v>
          </cell>
        </row>
        <row r="27">
          <cell r="A27" t="str">
            <v>Poults</v>
          </cell>
          <cell r="B27" t="str">
            <v>Required</v>
          </cell>
          <cell r="F27">
            <v>0</v>
          </cell>
          <cell r="K27">
            <v>0</v>
          </cell>
        </row>
        <row r="28">
          <cell r="B28" t="str">
            <v>% extra from Hatchery</v>
          </cell>
          <cell r="E28">
            <v>2</v>
          </cell>
          <cell r="F28">
            <v>0</v>
          </cell>
          <cell r="K28">
            <v>0</v>
          </cell>
        </row>
        <row r="29">
          <cell r="B29" t="str">
            <v>Purchased</v>
          </cell>
          <cell r="F29">
            <v>0</v>
          </cell>
        </row>
        <row r="30">
          <cell r="A30" t="str">
            <v>EXPENSES</v>
          </cell>
        </row>
        <row r="31">
          <cell r="A31" t="str">
            <v> Variable Costs:</v>
          </cell>
          <cell r="F31" t="str">
            <v>$/kg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</row>
        <row r="33">
          <cell r="A33" t="str">
            <v>  Purchased feed</v>
          </cell>
          <cell r="C33">
            <v>0</v>
          </cell>
          <cell r="D33" t="str">
            <v>($'s per tonne)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    kilograms/bird</v>
          </cell>
          <cell r="C34">
            <v>0</v>
          </cell>
          <cell r="D34" t="str">
            <v>(computed)</v>
          </cell>
        </row>
        <row r="35">
          <cell r="A35" t="str">
            <v>    tonnes/cycle</v>
          </cell>
          <cell r="C35">
            <v>0</v>
          </cell>
          <cell r="D35" t="str">
            <v>(computed)</v>
          </cell>
        </row>
        <row r="36">
          <cell r="A36" t="str">
            <v>    tonnes/year</v>
          </cell>
          <cell r="C36">
            <v>0</v>
          </cell>
          <cell r="D36" t="str">
            <v>(computed)</v>
          </cell>
        </row>
        <row r="37">
          <cell r="A37" t="str">
            <v>  Other#1</v>
          </cell>
          <cell r="C37">
            <v>0</v>
          </cell>
          <cell r="D37" t="str">
            <v>(cost per cycle)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Other#2</v>
          </cell>
          <cell r="C38">
            <v>0</v>
          </cell>
          <cell r="D38" t="str">
            <v>(cost per cycle)</v>
          </cell>
          <cell r="F38">
            <v>0</v>
          </cell>
          <cell r="G38">
            <v>0</v>
          </cell>
          <cell r="H38">
            <v>0</v>
          </cell>
        </row>
        <row r="40">
          <cell r="A40" t="str">
            <v>  Homegrown Feed *</v>
          </cell>
        </row>
        <row r="41">
          <cell r="A41" t="str">
            <v>    Crop Transfers    (from Transfer Table)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  ------</v>
          </cell>
          <cell r="F42" t="str">
            <v>$/kg</v>
          </cell>
          <cell r="G42" t="str">
            <v> $/Cycle:</v>
          </cell>
          <cell r="H42" t="str">
            <v> $/Year:</v>
          </cell>
        </row>
        <row r="43">
          <cell r="A43" t="str">
            <v> Total Feed Costs</v>
          </cell>
          <cell r="F43">
            <v>0</v>
          </cell>
          <cell r="G43">
            <v>0</v>
          </cell>
          <cell r="H43">
            <v>0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Poult Purchases (in dollars)</v>
          </cell>
          <cell r="G48">
            <v>0</v>
          </cell>
          <cell r="H48">
            <v>0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A52" t="str">
            <v> Hired Labour</v>
          </cell>
          <cell r="D52" t="str">
            <v>hrs</v>
          </cell>
          <cell r="E52">
            <v>0</v>
          </cell>
          <cell r="F52">
            <v>7.75</v>
          </cell>
          <cell r="G52">
            <v>0</v>
          </cell>
          <cell r="H52">
            <v>0</v>
          </cell>
        </row>
        <row r="53">
          <cell r="A53" t="str">
            <v> Catching</v>
          </cell>
          <cell r="D53" t="str">
            <v>kg</v>
          </cell>
          <cell r="E53">
            <v>0</v>
          </cell>
          <cell r="F53">
            <v>0.0094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kg</v>
          </cell>
          <cell r="E54">
            <v>0</v>
          </cell>
          <cell r="F54">
            <v>0.01</v>
          </cell>
          <cell r="G54">
            <v>0</v>
          </cell>
          <cell r="H54">
            <v>0</v>
          </cell>
        </row>
        <row r="55">
          <cell r="A55" t="str">
            <v> Bedding</v>
          </cell>
          <cell r="D55" t="str">
            <v>kg</v>
          </cell>
          <cell r="E55">
            <v>0</v>
          </cell>
          <cell r="F55">
            <v>0.02</v>
          </cell>
          <cell r="G55">
            <v>0</v>
          </cell>
          <cell r="H55">
            <v>0</v>
          </cell>
        </row>
        <row r="56">
          <cell r="A56" t="str">
            <v> Levies - Ontario</v>
          </cell>
          <cell r="D56" t="str">
            <v>kg</v>
          </cell>
          <cell r="E56">
            <v>0</v>
          </cell>
          <cell r="F56">
            <v>0.011</v>
          </cell>
          <cell r="G56">
            <v>0</v>
          </cell>
          <cell r="H56">
            <v>0</v>
          </cell>
        </row>
        <row r="57">
          <cell r="A57" t="str">
            <v> Levies - CTMA</v>
          </cell>
          <cell r="D57" t="str">
            <v>kg</v>
          </cell>
          <cell r="E57">
            <v>0</v>
          </cell>
          <cell r="F57">
            <v>0.013</v>
          </cell>
          <cell r="G57">
            <v>0</v>
          </cell>
          <cell r="H57">
            <v>0</v>
          </cell>
          <cell r="K57" t="str">
            <v>Wfarm!L4</v>
          </cell>
        </row>
        <row r="58">
          <cell r="A58" t="str">
            <v> Transportation</v>
          </cell>
          <cell r="D58" t="str">
            <v>kg</v>
          </cell>
          <cell r="E58">
            <v>0</v>
          </cell>
          <cell r="F58">
            <v>0.009</v>
          </cell>
          <cell r="G58">
            <v>0</v>
          </cell>
          <cell r="H58">
            <v>0</v>
          </cell>
          <cell r="K58" t="str">
            <v>Wfarm!L5</v>
          </cell>
        </row>
        <row r="59">
          <cell r="A59" t="str">
            <v> Heat</v>
          </cell>
          <cell r="D59" t="str">
            <v>kg</v>
          </cell>
          <cell r="E59">
            <v>0</v>
          </cell>
          <cell r="F59">
            <v>0.05</v>
          </cell>
          <cell r="G59">
            <v>0</v>
          </cell>
          <cell r="H59">
            <v>0</v>
          </cell>
          <cell r="K59" t="str">
            <v>Wfarm!L6</v>
          </cell>
        </row>
        <row r="60">
          <cell r="A60" t="str">
            <v> Custom Work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 t="str">
            <v>Wfarm!L7</v>
          </cell>
        </row>
        <row r="61">
          <cell r="A61" t="str">
            <v> Insurance</v>
          </cell>
          <cell r="D61" t="str">
            <v>kg</v>
          </cell>
          <cell r="E61">
            <v>0</v>
          </cell>
          <cell r="F61">
            <v>0.01</v>
          </cell>
          <cell r="G61">
            <v>0</v>
          </cell>
          <cell r="H61">
            <v>0</v>
          </cell>
          <cell r="K61" t="str">
            <v>Wfarm!L8</v>
          </cell>
        </row>
        <row r="62">
          <cell r="A62" t="str">
            <v> Miscellaneous </v>
          </cell>
          <cell r="D62" t="str">
            <v>$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</row>
        <row r="64">
          <cell r="D64" t="str">
            <v>Typical</v>
          </cell>
          <cell r="E64" t="str">
            <v> Enterprise</v>
          </cell>
          <cell r="J64">
            <v>0</v>
          </cell>
          <cell r="K64" t="str">
            <v>Wfarm!L9</v>
          </cell>
        </row>
        <row r="65">
          <cell r="C65" t="str">
            <v>       $/kg</v>
          </cell>
          <cell r="E65" t="str">
            <v> $ Allocated:</v>
          </cell>
          <cell r="G65" t="str">
            <v>  $/Cycle:</v>
          </cell>
          <cell r="H65" t="str">
            <v>   $/Year</v>
          </cell>
        </row>
        <row r="66">
          <cell r="A66" t="str">
            <v> Fuel</v>
          </cell>
          <cell r="D66">
            <v>0.008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Mach. Repair &amp; Maint.</v>
          </cell>
          <cell r="D67">
            <v>0.03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Bldg. Repair &amp; Maint.</v>
          </cell>
          <cell r="D68">
            <v>0.02</v>
          </cell>
          <cell r="E68">
            <v>0</v>
          </cell>
          <cell r="G68">
            <v>0</v>
          </cell>
          <cell r="H68">
            <v>0</v>
          </cell>
        </row>
        <row r="69">
          <cell r="A69" t="str">
            <v> Rent and Labour</v>
          </cell>
          <cell r="D69">
            <v>0.008</v>
          </cell>
          <cell r="E69">
            <v>0</v>
          </cell>
          <cell r="G69">
            <v>0</v>
          </cell>
          <cell r="H69">
            <v>0</v>
          </cell>
        </row>
        <row r="70">
          <cell r="A70" t="str">
            <v> General Variable Costs</v>
          </cell>
          <cell r="D70">
            <v>0.008</v>
          </cell>
          <cell r="E70">
            <v>0</v>
          </cell>
          <cell r="G70">
            <v>0</v>
          </cell>
          <cell r="H70">
            <v>0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  <cell r="K72" t="str">
            <v>Wfarm!K4</v>
          </cell>
        </row>
        <row r="73">
          <cell r="A73" t="str">
            <v>Operating Capital</v>
          </cell>
          <cell r="C73">
            <v>10</v>
          </cell>
          <cell r="D73">
            <v>50</v>
          </cell>
          <cell r="E73">
            <v>0</v>
          </cell>
          <cell r="G73">
            <v>0</v>
          </cell>
          <cell r="H73">
            <v>0</v>
          </cell>
          <cell r="K73" t="str">
            <v>Wfarm!K5</v>
          </cell>
        </row>
        <row r="74">
          <cell r="K74" t="str">
            <v>Wfarm!K6</v>
          </cell>
        </row>
        <row r="75">
          <cell r="A75" t="str">
            <v>Total Variable Costs</v>
          </cell>
          <cell r="D75">
            <v>0</v>
          </cell>
          <cell r="G75">
            <v>0</v>
          </cell>
          <cell r="H75">
            <v>0</v>
          </cell>
          <cell r="K75" t="str">
            <v>Wfarm!K7</v>
          </cell>
        </row>
        <row r="77">
          <cell r="D77" t="str">
            <v>Typical</v>
          </cell>
          <cell r="E77" t="str">
            <v> Enterprise</v>
          </cell>
        </row>
        <row r="78">
          <cell r="A78" t="str">
            <v>Fixed Costs:</v>
          </cell>
          <cell r="D78" t="str">
            <v>$/kg</v>
          </cell>
          <cell r="E78" t="str">
            <v> $ Allocated:</v>
          </cell>
          <cell r="G78" t="str">
            <v>  $/Cycle:</v>
          </cell>
          <cell r="H78" t="str">
            <v>   $/Year</v>
          </cell>
        </row>
        <row r="79">
          <cell r="A79" t="str">
            <v> Depreciation</v>
          </cell>
          <cell r="D79">
            <v>0.08</v>
          </cell>
          <cell r="E79">
            <v>0</v>
          </cell>
          <cell r="G79">
            <v>0</v>
          </cell>
          <cell r="H79">
            <v>0</v>
          </cell>
        </row>
        <row r="80">
          <cell r="A80" t="str">
            <v> Interest on Term Loans</v>
          </cell>
          <cell r="D80">
            <v>0.04</v>
          </cell>
          <cell r="E80">
            <v>0</v>
          </cell>
          <cell r="G80">
            <v>0</v>
          </cell>
          <cell r="H80">
            <v>0</v>
          </cell>
        </row>
        <row r="81">
          <cell r="A81" t="str">
            <v> Long-term Leases</v>
          </cell>
          <cell r="D81">
            <v>0.01</v>
          </cell>
          <cell r="E81">
            <v>0</v>
          </cell>
          <cell r="G81">
            <v>0</v>
          </cell>
          <cell r="H81">
            <v>0</v>
          </cell>
        </row>
        <row r="82">
          <cell r="A82" t="str">
            <v> General Fixed Costs</v>
          </cell>
          <cell r="D82">
            <v>0.02</v>
          </cell>
          <cell r="E82">
            <v>0</v>
          </cell>
          <cell r="G82">
            <v>0</v>
          </cell>
          <cell r="H82">
            <v>0</v>
          </cell>
        </row>
        <row r="84">
          <cell r="A84" t="str">
            <v>Total Fixed Costs</v>
          </cell>
          <cell r="D84">
            <v>0</v>
          </cell>
          <cell r="G84">
            <v>0</v>
          </cell>
          <cell r="H84">
            <v>0</v>
          </cell>
        </row>
        <row r="87">
          <cell r="A87" t="str">
            <v>Revenues:</v>
          </cell>
          <cell r="E87" t="str">
            <v>$/kg.</v>
          </cell>
          <cell r="F87" t="str">
            <v>$/Cycle</v>
          </cell>
          <cell r="G87" t="str">
            <v>$/Year</v>
          </cell>
        </row>
        <row r="88">
          <cell r="A88" t="str">
            <v>Total Expected Revenues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    less: Feed and Chick Costs</v>
          </cell>
          <cell r="E89">
            <v>0</v>
          </cell>
          <cell r="F89">
            <v>0</v>
          </cell>
          <cell r="G89">
            <v>0</v>
          </cell>
        </row>
        <row r="91">
          <cell r="A91" t="str">
            <v>NET of FEED &amp; CHICK Costs: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    less: Remaining Variable Costs</v>
          </cell>
          <cell r="E92">
            <v>0</v>
          </cell>
          <cell r="F92">
            <v>0</v>
          </cell>
          <cell r="G92">
            <v>0</v>
          </cell>
        </row>
        <row r="94">
          <cell r="A94" t="str">
            <v>Expected Operating Margin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    less: Fixed Costs</v>
          </cell>
          <cell r="E95">
            <v>0</v>
          </cell>
          <cell r="F95">
            <v>0</v>
          </cell>
          <cell r="G95">
            <v>0</v>
          </cell>
        </row>
        <row r="97">
          <cell r="A97" t="str">
            <v>Expected Net Revenue</v>
          </cell>
          <cell r="E97">
            <v>0</v>
          </cell>
          <cell r="F97">
            <v>0</v>
          </cell>
          <cell r="G97">
            <v>0</v>
          </cell>
        </row>
        <row r="101">
          <cell r="A101" t="str">
            <v>Expected break-even dollars per kilogram</v>
          </cell>
        </row>
        <row r="102">
          <cell r="A102" t="str">
            <v>for birds sold; needed to cover:</v>
          </cell>
          <cell r="E102" t="str">
            <v>Variable Costs</v>
          </cell>
          <cell r="G102">
            <v>0</v>
          </cell>
        </row>
        <row r="103">
          <cell r="E103" t="str">
            <v>Fixed Costs</v>
          </cell>
          <cell r="G103">
            <v>0</v>
          </cell>
        </row>
        <row r="105">
          <cell r="E105" t="str">
            <v>Total Costs</v>
          </cell>
          <cell r="G105">
            <v>0</v>
          </cell>
        </row>
        <row r="106">
          <cell r="A106" t="str">
            <v>=</v>
          </cell>
          <cell r="B106" t="str">
            <v>=</v>
          </cell>
          <cell r="C106" t="str">
            <v>=</v>
          </cell>
          <cell r="D106" t="str">
            <v>=</v>
          </cell>
          <cell r="E106" t="str">
            <v>=</v>
          </cell>
          <cell r="F106" t="str">
            <v>=</v>
          </cell>
          <cell r="G106" t="str">
            <v>=</v>
          </cell>
          <cell r="H106" t="str">
            <v>=</v>
          </cell>
        </row>
        <row r="107">
          <cell r="H107" t="str">
            <v>StdPf</v>
          </cell>
          <cell r="I107">
            <v>0</v>
          </cell>
          <cell r="J107" t="str">
            <v> +profit</v>
          </cell>
        </row>
        <row r="108">
          <cell r="B108" t="str">
            <v>Chance of at least breaking even       ==&gt;</v>
          </cell>
          <cell r="G108">
            <v>0</v>
          </cell>
          <cell r="H108" t="str">
            <v>StdQf</v>
          </cell>
          <cell r="I108">
            <v>0</v>
          </cell>
          <cell r="J108">
            <v>0</v>
          </cell>
        </row>
        <row r="109">
          <cell r="B109" t="str">
            <v>Chance of at least</v>
          </cell>
          <cell r="D109">
            <v>0</v>
          </cell>
          <cell r="E109" t="str">
            <v>$/cycle retn==&gt;</v>
          </cell>
          <cell r="G109">
            <v>0</v>
          </cell>
          <cell r="H109" t="str">
            <v>StdPe</v>
          </cell>
          <cell r="I109">
            <v>0</v>
          </cell>
          <cell r="J109">
            <v>0</v>
          </cell>
        </row>
        <row r="110">
          <cell r="B110" t="str">
            <v>Coefficient of variation               ==&gt;</v>
          </cell>
          <cell r="G110">
            <v>0</v>
          </cell>
          <cell r="H110" t="str">
            <v>StdQe</v>
          </cell>
          <cell r="I110">
            <v>0</v>
          </cell>
          <cell r="J110">
            <v>0</v>
          </cell>
        </row>
        <row r="111">
          <cell r="H111" t="str">
            <v>Var(PeQe)</v>
          </cell>
          <cell r="I111">
            <v>0</v>
          </cell>
          <cell r="J111">
            <v>0</v>
          </cell>
        </row>
        <row r="112">
          <cell r="C112" t="str">
            <v>      Returns</v>
          </cell>
          <cell r="E112" t="str">
            <v>        Chances of at least</v>
          </cell>
          <cell r="H112" t="str">
            <v>Var(PbQb)</v>
          </cell>
          <cell r="I112">
            <v>0</v>
          </cell>
        </row>
        <row r="113">
          <cell r="C113" t="str">
            <v>$/kg</v>
          </cell>
          <cell r="D113" t="str">
            <v>$/cycle</v>
          </cell>
          <cell r="F113" t="str">
            <v>this return per kg</v>
          </cell>
          <cell r="H113" t="str">
            <v>Var(PfQf)</v>
          </cell>
          <cell r="I113">
            <v>0</v>
          </cell>
        </row>
        <row r="114">
          <cell r="H114" t="str">
            <v>SumStd</v>
          </cell>
          <cell r="I114">
            <v>0</v>
          </cell>
        </row>
        <row r="115">
          <cell r="C115">
            <v>0</v>
          </cell>
          <cell r="D115">
            <v>0</v>
          </cell>
          <cell r="F115" t="str">
            <v>       17 %</v>
          </cell>
          <cell r="H115" t="str">
            <v>KgStd</v>
          </cell>
          <cell r="I115">
            <v>0</v>
          </cell>
        </row>
        <row r="116">
          <cell r="C116">
            <v>0</v>
          </cell>
          <cell r="D116">
            <v>0</v>
          </cell>
          <cell r="F116" t="str">
            <v>       33 %</v>
          </cell>
          <cell r="H116" t="str">
            <v>CycleStd</v>
          </cell>
          <cell r="I116">
            <v>0</v>
          </cell>
        </row>
        <row r="117">
          <cell r="C117">
            <v>0</v>
          </cell>
          <cell r="D117">
            <v>0</v>
          </cell>
          <cell r="F117" t="str">
            <v>       50 %</v>
          </cell>
          <cell r="I117" t="str">
            <v> +b.e.</v>
          </cell>
        </row>
        <row r="118">
          <cell r="C118">
            <v>0</v>
          </cell>
          <cell r="D118">
            <v>0</v>
          </cell>
          <cell r="F118" t="str">
            <v>       67 %</v>
          </cell>
          <cell r="H118" t="str">
            <v>z</v>
          </cell>
          <cell r="I118">
            <v>0</v>
          </cell>
        </row>
        <row r="119">
          <cell r="C119">
            <v>0</v>
          </cell>
          <cell r="D119">
            <v>0</v>
          </cell>
          <cell r="F119" t="str">
            <v>       83 %</v>
          </cell>
          <cell r="H119" t="str">
            <v>v1</v>
          </cell>
          <cell r="I119">
            <v>0</v>
          </cell>
        </row>
        <row r="120">
          <cell r="H120" t="str">
            <v>v2</v>
          </cell>
          <cell r="I120">
            <v>0</v>
          </cell>
        </row>
        <row r="121">
          <cell r="D121" t="str">
            <v> - End of Budget -</v>
          </cell>
          <cell r="H121" t="str">
            <v>p(vx)</v>
          </cell>
          <cell r="I121">
            <v>0</v>
          </cell>
        </row>
        <row r="122">
          <cell r="A122" t="str">
            <v>=</v>
          </cell>
          <cell r="B122" t="str">
            <v>=</v>
          </cell>
          <cell r="C122" t="str">
            <v>=</v>
          </cell>
          <cell r="D122" t="str">
            <v>=</v>
          </cell>
          <cell r="E122" t="str">
            <v>=</v>
          </cell>
          <cell r="F122" t="str">
            <v>=</v>
          </cell>
          <cell r="G122" t="str">
            <v>=</v>
          </cell>
          <cell r="H122" t="str">
            <v>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TA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info@omafra.gov.on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17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B9" sqref="AB9"/>
    </sheetView>
  </sheetViews>
  <sheetFormatPr defaultColWidth="11.00390625" defaultRowHeight="12.75"/>
  <cols>
    <col min="1" max="1" width="23.57421875" style="7" customWidth="1"/>
    <col min="2" max="2" width="8.00390625" style="7" customWidth="1"/>
    <col min="3" max="8" width="11.00390625" style="7" customWidth="1"/>
    <col min="9" max="9" width="11.00390625" style="7" hidden="1" customWidth="1"/>
    <col min="10" max="27" width="9.140625" style="7" hidden="1" customWidth="1"/>
    <col min="28" max="16384" width="11.00390625" style="7" customWidth="1"/>
  </cols>
  <sheetData>
    <row r="1" spans="1:27" ht="12.75">
      <c r="A1" s="1" t="s">
        <v>110</v>
      </c>
      <c r="B1" s="3" t="s">
        <v>125</v>
      </c>
      <c r="C1" s="3"/>
      <c r="D1" s="2"/>
      <c r="E1" s="2"/>
      <c r="F1" s="2"/>
      <c r="G1" s="4" t="s">
        <v>140</v>
      </c>
      <c r="H1" s="5"/>
      <c r="I1" s="6"/>
      <c r="J1" s="6"/>
      <c r="K1" s="6"/>
      <c r="L1" s="6"/>
      <c r="AA1" s="8">
        <f>E89</f>
        <v>191.75601375000005</v>
      </c>
    </row>
    <row r="2" spans="1:27" ht="12.75">
      <c r="A2" s="9"/>
      <c r="B2" s="77" t="s">
        <v>124</v>
      </c>
      <c r="C2" s="77"/>
      <c r="D2" s="10"/>
      <c r="E2" s="10"/>
      <c r="F2" s="11" t="s">
        <v>86</v>
      </c>
      <c r="G2" s="10"/>
      <c r="H2" s="12">
        <f>AA1</f>
        <v>191.75601375000005</v>
      </c>
      <c r="I2" s="6"/>
      <c r="J2" s="6"/>
      <c r="K2" s="6"/>
      <c r="L2" s="6"/>
      <c r="AA2" s="7">
        <f>C7*D3</f>
        <v>24000</v>
      </c>
    </row>
    <row r="3" spans="1:27" ht="12.75">
      <c r="A3" s="13"/>
      <c r="B3" s="11" t="s">
        <v>0</v>
      </c>
      <c r="C3" s="14"/>
      <c r="D3" s="15">
        <v>20</v>
      </c>
      <c r="E3" s="14"/>
      <c r="F3" s="11" t="s">
        <v>120</v>
      </c>
      <c r="G3" s="14">
        <v>368.43</v>
      </c>
      <c r="H3" s="16" t="s">
        <v>121</v>
      </c>
      <c r="I3" s="6"/>
      <c r="J3" s="6"/>
      <c r="K3" s="6"/>
      <c r="L3" s="6"/>
      <c r="AA3" s="7">
        <f>E7*D3</f>
        <v>20000</v>
      </c>
    </row>
    <row r="4" spans="1:27" ht="12.75">
      <c r="A4" s="67" t="s">
        <v>123</v>
      </c>
      <c r="B4" s="10"/>
      <c r="C4" s="10"/>
      <c r="D4" s="10"/>
      <c r="E4" s="10"/>
      <c r="F4" s="10"/>
      <c r="G4" s="10"/>
      <c r="H4" s="18"/>
      <c r="I4" s="6"/>
      <c r="J4" s="6"/>
      <c r="K4" s="6"/>
      <c r="L4" s="6"/>
      <c r="AA4" s="7">
        <f>G7*D3</f>
        <v>16000</v>
      </c>
    </row>
    <row r="5" spans="1:27" ht="12.75">
      <c r="A5" s="66"/>
      <c r="B5" s="41"/>
      <c r="C5" s="41"/>
      <c r="D5" s="41"/>
      <c r="E5" s="41"/>
      <c r="F5" s="41"/>
      <c r="G5" s="41"/>
      <c r="H5" s="41"/>
      <c r="I5" s="6"/>
      <c r="J5" s="6"/>
      <c r="K5" s="6"/>
      <c r="L5" s="6"/>
      <c r="AA5" s="7">
        <f>E7*D13</f>
        <v>800</v>
      </c>
    </row>
    <row r="6" spans="1:27" ht="12.75">
      <c r="A6" s="13"/>
      <c r="B6" s="10"/>
      <c r="C6" s="11" t="s">
        <v>2</v>
      </c>
      <c r="D6" s="14"/>
      <c r="E6" s="11" t="s">
        <v>3</v>
      </c>
      <c r="F6" s="14"/>
      <c r="G6" s="11" t="s">
        <v>4</v>
      </c>
      <c r="H6" s="19"/>
      <c r="I6" s="6"/>
      <c r="J6" s="6"/>
      <c r="K6" s="6"/>
      <c r="L6" s="6"/>
      <c r="AA6" s="8">
        <f>F83</f>
        <v>0</v>
      </c>
    </row>
    <row r="7" spans="1:27" ht="12.75">
      <c r="A7" s="20" t="s">
        <v>106</v>
      </c>
      <c r="B7" s="10"/>
      <c r="C7" s="15">
        <v>1200</v>
      </c>
      <c r="D7" s="10"/>
      <c r="E7" s="15">
        <v>1000</v>
      </c>
      <c r="F7" s="10"/>
      <c r="G7" s="15">
        <v>800</v>
      </c>
      <c r="H7" s="19"/>
      <c r="I7" s="6"/>
      <c r="J7" s="6"/>
      <c r="K7" s="6"/>
      <c r="L7" s="6"/>
      <c r="AA7" s="7">
        <f>IF(D17&lt;0.0001,0.0001,IF(D17&gt;1,1,D17))</f>
        <v>0.15864379861728659</v>
      </c>
    </row>
    <row r="8" spans="1:27" ht="12.75">
      <c r="A8" s="20" t="s">
        <v>107</v>
      </c>
      <c r="B8" s="10"/>
      <c r="C8" s="21">
        <v>2</v>
      </c>
      <c r="D8" s="10"/>
      <c r="E8" s="21">
        <v>1.8</v>
      </c>
      <c r="F8" s="10"/>
      <c r="G8" s="21">
        <v>1.6</v>
      </c>
      <c r="H8" s="19"/>
      <c r="I8" s="6"/>
      <c r="J8" s="6"/>
      <c r="K8" s="6"/>
      <c r="L8" s="6"/>
      <c r="AA8" s="8">
        <f>H69</f>
        <v>25424.879725</v>
      </c>
    </row>
    <row r="9" spans="1:27" ht="12.75">
      <c r="A9" s="20" t="s">
        <v>108</v>
      </c>
      <c r="B9" s="14"/>
      <c r="C9" s="22">
        <f>AA2</f>
        <v>24000</v>
      </c>
      <c r="D9" s="14"/>
      <c r="E9" s="22">
        <f>AA3</f>
        <v>20000</v>
      </c>
      <c r="F9" s="14"/>
      <c r="G9" s="22">
        <f>AA4</f>
        <v>16000</v>
      </c>
      <c r="H9" s="19"/>
      <c r="I9" s="6"/>
      <c r="J9" s="6"/>
      <c r="K9" s="6"/>
      <c r="L9" s="6"/>
      <c r="AA9" s="7">
        <f>E8*(D17*(D14-E7)+((C7-G7)/2)*EXP(-0.5*((D14-E7)/((C7-G7)/2))^2)/SQRT(2*PI()))</f>
        <v>29.997693324668447</v>
      </c>
    </row>
    <row r="10" spans="1:27" ht="12.75">
      <c r="A10" s="41"/>
      <c r="B10" s="41"/>
      <c r="C10" s="41"/>
      <c r="D10" s="41"/>
      <c r="E10" s="41"/>
      <c r="F10" s="41"/>
      <c r="G10" s="41"/>
      <c r="H10" s="41"/>
      <c r="I10" s="6"/>
      <c r="J10" s="6"/>
      <c r="K10" s="6"/>
      <c r="L10" s="6"/>
      <c r="AA10" s="8">
        <f>H79</f>
        <v>6740</v>
      </c>
    </row>
    <row r="11" spans="1:27" ht="12.75">
      <c r="A11" s="20" t="s">
        <v>5</v>
      </c>
      <c r="B11" s="10"/>
      <c r="C11" s="10"/>
      <c r="D11" s="10"/>
      <c r="E11" s="10"/>
      <c r="F11" s="10"/>
      <c r="G11" s="10"/>
      <c r="H11" s="19"/>
      <c r="I11" s="6"/>
      <c r="J11" s="6"/>
      <c r="K11" s="6"/>
      <c r="L11" s="6"/>
      <c r="AA11" s="7">
        <f>(EXP(-0.5*((E7-D14)/((C7-G7)/2))^2)/SQRT(2*PI()))*(0.43618*(K32^-1)-0.1202*(K32^-2)+0.9373*(K32^-3))</f>
        <v>0.15864379861728659</v>
      </c>
    </row>
    <row r="12" spans="1:27" ht="12.75">
      <c r="A12" s="20" t="s">
        <v>6</v>
      </c>
      <c r="B12" s="10"/>
      <c r="C12" s="10"/>
      <c r="D12" s="21">
        <v>42</v>
      </c>
      <c r="E12" s="10"/>
      <c r="F12" s="10"/>
      <c r="G12" s="10"/>
      <c r="H12" s="19"/>
      <c r="I12" s="6"/>
      <c r="J12" s="6"/>
      <c r="K12" s="6"/>
      <c r="L12" s="6"/>
      <c r="AA12" s="8">
        <f>F82</f>
        <v>36000</v>
      </c>
    </row>
    <row r="13" spans="1:27" ht="12.75">
      <c r="A13" s="20" t="s">
        <v>7</v>
      </c>
      <c r="B13" s="10"/>
      <c r="C13" s="10"/>
      <c r="D13" s="23">
        <v>0.8</v>
      </c>
      <c r="E13" s="10"/>
      <c r="F13" s="10"/>
      <c r="G13" s="10"/>
      <c r="H13" s="19"/>
      <c r="I13" s="6"/>
      <c r="J13" s="6"/>
      <c r="K13" s="24">
        <v>0</v>
      </c>
      <c r="L13" s="6"/>
      <c r="AA13" s="7">
        <f>D3*I92</f>
        <v>12539.295546931768</v>
      </c>
    </row>
    <row r="14" spans="1:27" ht="12.75">
      <c r="A14" s="20" t="s">
        <v>8</v>
      </c>
      <c r="B14" s="10"/>
      <c r="C14" s="10"/>
      <c r="D14" s="25">
        <f>AA5</f>
        <v>800</v>
      </c>
      <c r="E14" s="10"/>
      <c r="F14" s="10"/>
      <c r="G14" s="10"/>
      <c r="H14" s="19"/>
      <c r="I14" s="6"/>
      <c r="J14" s="6"/>
      <c r="K14" s="26">
        <f>AA6</f>
        <v>0</v>
      </c>
      <c r="L14" s="6"/>
      <c r="AA14" s="7">
        <f>D3*E7/G3</f>
        <v>54.28439595038406</v>
      </c>
    </row>
    <row r="15" spans="1:27" ht="12.75">
      <c r="A15" s="20" t="s">
        <v>9</v>
      </c>
      <c r="B15" s="10"/>
      <c r="C15" s="10"/>
      <c r="D15" s="27">
        <f>AA7</f>
        <v>0.15864379861728659</v>
      </c>
      <c r="E15" s="10"/>
      <c r="F15" s="10"/>
      <c r="G15" s="10"/>
      <c r="H15" s="19"/>
      <c r="I15" s="6"/>
      <c r="J15" s="6"/>
      <c r="K15" s="26">
        <f>AA8</f>
        <v>25424.879725</v>
      </c>
      <c r="L15" s="6"/>
      <c r="AA15" s="7">
        <f>E8*G3</f>
        <v>663.174</v>
      </c>
    </row>
    <row r="16" spans="1:27" ht="12.75">
      <c r="A16" s="20" t="s">
        <v>10</v>
      </c>
      <c r="B16" s="10"/>
      <c r="C16" s="10"/>
      <c r="D16" s="28">
        <f>AA9</f>
        <v>29.997693324668447</v>
      </c>
      <c r="E16" s="10"/>
      <c r="F16" s="10"/>
      <c r="G16" s="10"/>
      <c r="H16" s="19"/>
      <c r="I16" s="6"/>
      <c r="J16" s="6"/>
      <c r="K16" s="26">
        <f>AA10</f>
        <v>6740</v>
      </c>
      <c r="L16" s="6"/>
      <c r="AA16" s="7">
        <f>D3</f>
        <v>20</v>
      </c>
    </row>
    <row r="17" spans="1:27" ht="12.75">
      <c r="A17" s="20"/>
      <c r="B17" s="10"/>
      <c r="C17" s="10"/>
      <c r="D17" s="29">
        <f>AA11</f>
        <v>0.15864379861728659</v>
      </c>
      <c r="E17" s="10"/>
      <c r="F17" s="10"/>
      <c r="G17" s="10"/>
      <c r="H17" s="19"/>
      <c r="I17" s="6"/>
      <c r="J17" s="6"/>
      <c r="K17" s="26">
        <f>AA12</f>
        <v>36000</v>
      </c>
      <c r="L17" s="6"/>
      <c r="AA17" s="7">
        <f>234/9000</f>
        <v>0.026</v>
      </c>
    </row>
    <row r="18" spans="1:27" ht="12.75">
      <c r="A18" s="20" t="s">
        <v>11</v>
      </c>
      <c r="B18" s="14"/>
      <c r="C18" s="14"/>
      <c r="D18" s="42" t="s">
        <v>118</v>
      </c>
      <c r="E18" s="14"/>
      <c r="F18" s="14"/>
      <c r="G18" s="14"/>
      <c r="H18" s="19"/>
      <c r="I18" s="6"/>
      <c r="J18" s="6"/>
      <c r="K18" s="30">
        <f>AA13</f>
        <v>12539.295546931768</v>
      </c>
      <c r="L18" s="6"/>
      <c r="AA18" s="7">
        <f>F23*E23</f>
        <v>90</v>
      </c>
    </row>
    <row r="19" spans="1:27" ht="12.75">
      <c r="A19" s="41"/>
      <c r="B19" s="41"/>
      <c r="C19" s="41"/>
      <c r="D19" s="41"/>
      <c r="E19" s="41"/>
      <c r="F19" s="41"/>
      <c r="G19" s="41"/>
      <c r="H19" s="41"/>
      <c r="I19" s="6"/>
      <c r="J19" s="6"/>
      <c r="K19" s="30">
        <f>AA14</f>
        <v>54.28439595038406</v>
      </c>
      <c r="L19" s="6"/>
      <c r="AA19" s="7">
        <f>G23*D3</f>
        <v>1800</v>
      </c>
    </row>
    <row r="20" spans="1:27" ht="12.75">
      <c r="A20" s="17"/>
      <c r="B20" s="10"/>
      <c r="C20" s="10"/>
      <c r="D20" s="22" t="s">
        <v>12</v>
      </c>
      <c r="E20" s="22" t="s">
        <v>13</v>
      </c>
      <c r="F20" s="22" t="s">
        <v>14</v>
      </c>
      <c r="G20" s="22" t="s">
        <v>15</v>
      </c>
      <c r="H20" s="45" t="s">
        <v>16</v>
      </c>
      <c r="I20" s="6"/>
      <c r="J20" s="6"/>
      <c r="K20" s="30">
        <f>AA15</f>
        <v>663.174</v>
      </c>
      <c r="L20" s="6"/>
      <c r="AA20" s="8">
        <f>H23</f>
        <v>1800</v>
      </c>
    </row>
    <row r="21" spans="1:27" ht="12.75">
      <c r="A21" s="20" t="s">
        <v>17</v>
      </c>
      <c r="B21" s="10"/>
      <c r="C21" s="10"/>
      <c r="D21" s="22" t="s">
        <v>18</v>
      </c>
      <c r="E21" s="22" t="s">
        <v>19</v>
      </c>
      <c r="F21" s="22" t="s">
        <v>20</v>
      </c>
      <c r="G21" s="22" t="s">
        <v>21</v>
      </c>
      <c r="H21" s="45" t="s">
        <v>21</v>
      </c>
      <c r="I21" s="6"/>
      <c r="J21" s="6"/>
      <c r="K21" s="31" t="s">
        <v>22</v>
      </c>
      <c r="L21" s="6"/>
      <c r="AA21" s="7">
        <f>F24*E24</f>
        <v>46.75000000000001</v>
      </c>
    </row>
    <row r="22" spans="1:27" ht="12.75">
      <c r="A22" s="20" t="s">
        <v>23</v>
      </c>
      <c r="B22" s="10"/>
      <c r="C22" s="10"/>
      <c r="D22" s="10"/>
      <c r="E22" s="10"/>
      <c r="F22" s="10"/>
      <c r="G22" s="10"/>
      <c r="H22" s="19"/>
      <c r="I22" s="6"/>
      <c r="J22" s="6"/>
      <c r="K22" s="30">
        <f>AA16</f>
        <v>20</v>
      </c>
      <c r="L22" s="6"/>
      <c r="AA22" s="7">
        <f>G24*D3</f>
        <v>935.0000000000001</v>
      </c>
    </row>
    <row r="23" spans="1:27" ht="12.75">
      <c r="A23" s="20" t="s">
        <v>109</v>
      </c>
      <c r="B23" s="10"/>
      <c r="C23" s="10"/>
      <c r="D23" s="73" t="s">
        <v>1</v>
      </c>
      <c r="E23" s="69">
        <v>10</v>
      </c>
      <c r="F23" s="21">
        <v>9</v>
      </c>
      <c r="G23" s="32">
        <f>AA18</f>
        <v>90</v>
      </c>
      <c r="H23" s="33">
        <f>AA19</f>
        <v>1800</v>
      </c>
      <c r="I23" s="6"/>
      <c r="J23" s="6"/>
      <c r="K23" s="26">
        <f>AA20</f>
        <v>1800</v>
      </c>
      <c r="L23" s="6"/>
      <c r="AA23" s="8">
        <f>SUM(H26:H28)</f>
        <v>1216.38</v>
      </c>
    </row>
    <row r="24" spans="1:27" ht="12.75">
      <c r="A24" s="20" t="s">
        <v>101</v>
      </c>
      <c r="B24" s="10"/>
      <c r="C24" s="10"/>
      <c r="D24" s="73" t="s">
        <v>111</v>
      </c>
      <c r="E24" s="69">
        <v>85</v>
      </c>
      <c r="F24" s="21">
        <v>0.55</v>
      </c>
      <c r="G24" s="32">
        <f>AA21</f>
        <v>46.75000000000001</v>
      </c>
      <c r="H24" s="33">
        <f>AA22</f>
        <v>935.0000000000001</v>
      </c>
      <c r="I24" s="6"/>
      <c r="J24" s="6"/>
      <c r="K24" s="26">
        <f>AA23</f>
        <v>1216.38</v>
      </c>
      <c r="L24" s="6"/>
      <c r="AA24" s="8">
        <f>H24+SUM(H32:H38)</f>
        <v>3466.8</v>
      </c>
    </row>
    <row r="25" spans="1:27" ht="12.75">
      <c r="A25" s="20"/>
      <c r="B25" s="10"/>
      <c r="C25" s="10"/>
      <c r="D25" s="48"/>
      <c r="E25" s="10"/>
      <c r="F25" s="10"/>
      <c r="G25" s="10"/>
      <c r="H25" s="19"/>
      <c r="I25" s="6"/>
      <c r="J25" s="6"/>
      <c r="K25" s="26">
        <f>AA24</f>
        <v>3466.8</v>
      </c>
      <c r="L25" s="6"/>
      <c r="AA25" s="7">
        <f>F26*E26</f>
        <v>41.410000000000004</v>
      </c>
    </row>
    <row r="26" spans="1:27" ht="12.75">
      <c r="A26" s="20" t="s">
        <v>26</v>
      </c>
      <c r="B26" s="50" t="s">
        <v>76</v>
      </c>
      <c r="C26" s="68"/>
      <c r="D26" s="73" t="s">
        <v>25</v>
      </c>
      <c r="E26" s="69">
        <v>41</v>
      </c>
      <c r="F26" s="34">
        <v>1.01</v>
      </c>
      <c r="G26" s="32">
        <f>AA25</f>
        <v>41.410000000000004</v>
      </c>
      <c r="H26" s="33">
        <f>AA26</f>
        <v>828.2</v>
      </c>
      <c r="I26" s="6"/>
      <c r="J26" s="6"/>
      <c r="K26" s="26">
        <f>AA27</f>
        <v>15012</v>
      </c>
      <c r="L26" s="6"/>
      <c r="AA26" s="7">
        <f>G26*D3</f>
        <v>828.2</v>
      </c>
    </row>
    <row r="27" spans="1:27" ht="12.75">
      <c r="A27" s="20"/>
      <c r="B27" s="50" t="s">
        <v>77</v>
      </c>
      <c r="C27" s="68"/>
      <c r="D27" s="73" t="s">
        <v>25</v>
      </c>
      <c r="E27" s="69">
        <v>9</v>
      </c>
      <c r="F27" s="34">
        <v>0.682</v>
      </c>
      <c r="G27" s="32">
        <f>AA28</f>
        <v>6.138000000000001</v>
      </c>
      <c r="H27" s="33">
        <f>AA29</f>
        <v>122.76000000000002</v>
      </c>
      <c r="I27" s="6"/>
      <c r="J27" s="6"/>
      <c r="K27" s="26">
        <f>AA30</f>
        <v>1800</v>
      </c>
      <c r="L27" s="6"/>
      <c r="AA27" s="8">
        <f>SUM(H44:H57,H46:H47)+H39</f>
        <v>15012</v>
      </c>
    </row>
    <row r="28" spans="1:27" ht="12.75">
      <c r="A28" s="20"/>
      <c r="B28" s="50" t="s">
        <v>78</v>
      </c>
      <c r="C28" s="68"/>
      <c r="D28" s="73" t="s">
        <v>25</v>
      </c>
      <c r="E28" s="69">
        <v>23</v>
      </c>
      <c r="F28" s="34">
        <v>0.577</v>
      </c>
      <c r="G28" s="32">
        <f>AA31</f>
        <v>13.270999999999999</v>
      </c>
      <c r="H28" s="33">
        <f>AA32</f>
        <v>265.41999999999996</v>
      </c>
      <c r="I28" s="6"/>
      <c r="J28" s="6"/>
      <c r="K28" s="26">
        <f>AA33</f>
        <v>1649</v>
      </c>
      <c r="L28" s="6"/>
      <c r="AA28" s="7">
        <f>F27*E27</f>
        <v>6.138000000000001</v>
      </c>
    </row>
    <row r="29" spans="1:27" ht="12.75">
      <c r="A29" s="20"/>
      <c r="B29" s="10"/>
      <c r="C29" s="10"/>
      <c r="D29" s="10"/>
      <c r="E29" s="10"/>
      <c r="F29" s="10"/>
      <c r="G29" s="10"/>
      <c r="H29" s="19"/>
      <c r="I29" s="6"/>
      <c r="J29" s="6"/>
      <c r="K29" s="6"/>
      <c r="L29" s="6"/>
      <c r="AA29" s="7">
        <f>G27*D3</f>
        <v>122.76000000000002</v>
      </c>
    </row>
    <row r="30" spans="1:27" ht="12.75">
      <c r="A30" s="17"/>
      <c r="B30" s="10"/>
      <c r="C30" s="10"/>
      <c r="D30" s="22" t="s">
        <v>12</v>
      </c>
      <c r="E30" s="22" t="s">
        <v>13</v>
      </c>
      <c r="F30" s="22" t="s">
        <v>14</v>
      </c>
      <c r="G30" s="22" t="s">
        <v>15</v>
      </c>
      <c r="H30" s="45" t="s">
        <v>16</v>
      </c>
      <c r="I30" s="6"/>
      <c r="J30" s="31" t="s">
        <v>27</v>
      </c>
      <c r="K30" s="31" t="s">
        <v>28</v>
      </c>
      <c r="L30" s="6"/>
      <c r="AA30" s="8">
        <f>H49</f>
        <v>1800</v>
      </c>
    </row>
    <row r="31" spans="1:27" ht="12.75">
      <c r="A31" s="20"/>
      <c r="B31" s="10"/>
      <c r="C31" s="10"/>
      <c r="D31" s="22" t="s">
        <v>18</v>
      </c>
      <c r="E31" s="22" t="s">
        <v>19</v>
      </c>
      <c r="F31" s="22" t="s">
        <v>20</v>
      </c>
      <c r="G31" s="22" t="s">
        <v>21</v>
      </c>
      <c r="H31" s="45" t="s">
        <v>21</v>
      </c>
      <c r="I31" s="6"/>
      <c r="J31" s="6"/>
      <c r="K31" s="6"/>
      <c r="L31" s="6"/>
      <c r="AA31" s="7">
        <f>F28*E28</f>
        <v>13.270999999999999</v>
      </c>
    </row>
    <row r="32" spans="1:27" ht="12.75">
      <c r="A32" s="20" t="s">
        <v>82</v>
      </c>
      <c r="B32" s="50" t="s">
        <v>112</v>
      </c>
      <c r="C32" s="68"/>
      <c r="D32" s="73" t="s">
        <v>103</v>
      </c>
      <c r="E32" s="70">
        <v>1</v>
      </c>
      <c r="F32" s="21">
        <v>8.5</v>
      </c>
      <c r="G32" s="32">
        <f>AA34</f>
        <v>8.5</v>
      </c>
      <c r="H32" s="33">
        <f>AA35</f>
        <v>170</v>
      </c>
      <c r="I32" s="6"/>
      <c r="J32" s="31" t="s">
        <v>29</v>
      </c>
      <c r="K32" s="30">
        <f>AA36</f>
        <v>1.33267</v>
      </c>
      <c r="L32" s="6"/>
      <c r="AA32" s="7">
        <f>G28*D3</f>
        <v>265.41999999999996</v>
      </c>
    </row>
    <row r="33" spans="1:27" ht="12.75">
      <c r="A33" s="47"/>
      <c r="B33" s="50" t="s">
        <v>113</v>
      </c>
      <c r="C33" s="68"/>
      <c r="D33" s="73" t="s">
        <v>103</v>
      </c>
      <c r="E33" s="70">
        <v>1</v>
      </c>
      <c r="F33" s="21">
        <v>28</v>
      </c>
      <c r="G33" s="32">
        <f>AA37</f>
        <v>28</v>
      </c>
      <c r="H33" s="33">
        <f>AA38</f>
        <v>560</v>
      </c>
      <c r="I33" s="6"/>
      <c r="J33" s="6"/>
      <c r="K33" s="26">
        <f>AA39</f>
        <v>840</v>
      </c>
      <c r="L33" s="6"/>
      <c r="AA33" s="8">
        <f>H40+H41</f>
        <v>1649</v>
      </c>
    </row>
    <row r="34" spans="1:27" ht="13.5">
      <c r="A34" s="47"/>
      <c r="B34" s="50" t="s">
        <v>133</v>
      </c>
      <c r="C34" s="68"/>
      <c r="D34" s="73" t="s">
        <v>103</v>
      </c>
      <c r="E34" s="70">
        <v>1</v>
      </c>
      <c r="F34" s="21">
        <v>28.95</v>
      </c>
      <c r="G34" s="32">
        <f>AA40</f>
        <v>28.95</v>
      </c>
      <c r="H34" s="33">
        <f>AA41</f>
        <v>579</v>
      </c>
      <c r="I34" s="6"/>
      <c r="J34" s="6"/>
      <c r="K34" s="26">
        <f>AA42</f>
        <v>840</v>
      </c>
      <c r="L34" s="6"/>
      <c r="AA34" s="7">
        <f>F32*E32</f>
        <v>8.5</v>
      </c>
    </row>
    <row r="35" spans="1:27" ht="12.75">
      <c r="A35" s="20" t="s">
        <v>30</v>
      </c>
      <c r="B35" s="50" t="s">
        <v>102</v>
      </c>
      <c r="C35" s="68"/>
      <c r="D35" s="73" t="s">
        <v>103</v>
      </c>
      <c r="E35" s="70">
        <v>1</v>
      </c>
      <c r="F35" s="21">
        <v>15.84</v>
      </c>
      <c r="G35" s="32">
        <f>AA44</f>
        <v>15.84</v>
      </c>
      <c r="H35" s="33">
        <f>AA45</f>
        <v>316.8</v>
      </c>
      <c r="I35" s="6"/>
      <c r="J35" s="6"/>
      <c r="K35" s="6"/>
      <c r="L35" s="6"/>
      <c r="AA35" s="7">
        <f>G32*D3</f>
        <v>170</v>
      </c>
    </row>
    <row r="36" spans="1:27" ht="12.75">
      <c r="A36" s="20"/>
      <c r="B36" s="50" t="s">
        <v>114</v>
      </c>
      <c r="C36" s="68"/>
      <c r="D36" s="73" t="s">
        <v>103</v>
      </c>
      <c r="E36" s="70">
        <v>3</v>
      </c>
      <c r="F36" s="21">
        <v>5.3</v>
      </c>
      <c r="G36" s="32">
        <f>AA46</f>
        <v>15.899999999999999</v>
      </c>
      <c r="H36" s="33">
        <f>AA47</f>
        <v>318</v>
      </c>
      <c r="I36" s="6"/>
      <c r="J36" s="6"/>
      <c r="K36" s="6"/>
      <c r="L36" s="6"/>
      <c r="AA36" s="7">
        <f>(1+0.33267*((E7-D14)/((C7-G7)/2)))</f>
        <v>1.33267</v>
      </c>
    </row>
    <row r="37" spans="1:27" ht="12.75">
      <c r="A37" s="20"/>
      <c r="B37" s="50"/>
      <c r="C37" s="68"/>
      <c r="D37" s="73" t="s">
        <v>103</v>
      </c>
      <c r="E37" s="70">
        <v>0</v>
      </c>
      <c r="F37" s="21">
        <v>0</v>
      </c>
      <c r="G37" s="32">
        <f>AA48</f>
        <v>0</v>
      </c>
      <c r="H37" s="33">
        <f>AA49</f>
        <v>0</v>
      </c>
      <c r="I37" s="6"/>
      <c r="J37" s="6"/>
      <c r="K37" s="6"/>
      <c r="L37" s="6"/>
      <c r="AA37" s="7">
        <f>F33*E33</f>
        <v>28</v>
      </c>
    </row>
    <row r="38" spans="1:27" ht="12.75">
      <c r="A38" s="20" t="s">
        <v>31</v>
      </c>
      <c r="B38" s="50" t="s">
        <v>115</v>
      </c>
      <c r="C38" s="68"/>
      <c r="D38" s="73" t="s">
        <v>103</v>
      </c>
      <c r="E38" s="70">
        <v>2</v>
      </c>
      <c r="F38" s="21">
        <v>14.7</v>
      </c>
      <c r="G38" s="32">
        <f>AA51</f>
        <v>29.4</v>
      </c>
      <c r="H38" s="33">
        <f>AA52</f>
        <v>588</v>
      </c>
      <c r="I38" s="6"/>
      <c r="J38" s="6"/>
      <c r="K38" s="6"/>
      <c r="L38" s="6"/>
      <c r="AA38" s="7">
        <f>G33*D3</f>
        <v>560</v>
      </c>
    </row>
    <row r="39" spans="1:27" ht="12.75">
      <c r="A39" s="20" t="s">
        <v>32</v>
      </c>
      <c r="B39" s="10"/>
      <c r="C39" s="14"/>
      <c r="D39" s="74"/>
      <c r="E39" s="22">
        <f>AA53</f>
        <v>1</v>
      </c>
      <c r="F39" s="25">
        <f>AA54</f>
        <v>42</v>
      </c>
      <c r="G39" s="32">
        <f>AA55</f>
        <v>42</v>
      </c>
      <c r="H39" s="33">
        <f>AA56</f>
        <v>840</v>
      </c>
      <c r="I39" s="6"/>
      <c r="J39" s="6"/>
      <c r="K39" s="6"/>
      <c r="L39" s="6"/>
      <c r="AA39" s="8">
        <f>H39</f>
        <v>840</v>
      </c>
    </row>
    <row r="40" spans="1:27" ht="12.75">
      <c r="A40" s="20" t="s">
        <v>79</v>
      </c>
      <c r="B40" s="50" t="s">
        <v>80</v>
      </c>
      <c r="C40" s="49"/>
      <c r="D40" s="73" t="s">
        <v>103</v>
      </c>
      <c r="E40" s="15">
        <v>7</v>
      </c>
      <c r="F40" s="21">
        <v>9.15</v>
      </c>
      <c r="G40" s="32">
        <f>AA57</f>
        <v>64.05</v>
      </c>
      <c r="H40" s="33">
        <f>AA58</f>
        <v>1281</v>
      </c>
      <c r="I40" s="6"/>
      <c r="J40" s="6"/>
      <c r="K40" s="6"/>
      <c r="L40" s="6"/>
      <c r="AA40" s="7">
        <f>F34*E34</f>
        <v>28.95</v>
      </c>
    </row>
    <row r="41" spans="1:27" ht="12.75">
      <c r="A41" s="20"/>
      <c r="B41" s="50" t="s">
        <v>81</v>
      </c>
      <c r="C41" s="49"/>
      <c r="D41" s="73" t="s">
        <v>103</v>
      </c>
      <c r="E41" s="15">
        <v>2</v>
      </c>
      <c r="F41" s="21">
        <v>9.2</v>
      </c>
      <c r="G41" s="32">
        <f>AA59</f>
        <v>18.4</v>
      </c>
      <c r="H41" s="33">
        <f>AA60</f>
        <v>368</v>
      </c>
      <c r="I41" s="6"/>
      <c r="J41" s="6"/>
      <c r="K41" s="6"/>
      <c r="L41" s="6"/>
      <c r="AA41" s="7">
        <f>G34*D3</f>
        <v>579</v>
      </c>
    </row>
    <row r="42" spans="1:27" ht="12.75" customHeight="1">
      <c r="A42" s="20"/>
      <c r="B42" s="50" t="s">
        <v>100</v>
      </c>
      <c r="C42" s="49"/>
      <c r="D42" s="73" t="s">
        <v>103</v>
      </c>
      <c r="E42" s="15">
        <v>0</v>
      </c>
      <c r="F42" s="21">
        <v>0</v>
      </c>
      <c r="G42" s="32">
        <f>AA61</f>
        <v>0</v>
      </c>
      <c r="H42" s="33">
        <f>AA62</f>
        <v>0</v>
      </c>
      <c r="I42" s="6"/>
      <c r="J42" s="6"/>
      <c r="K42" s="6"/>
      <c r="L42" s="6"/>
      <c r="AA42" s="8">
        <f>K33+0</f>
        <v>840</v>
      </c>
    </row>
    <row r="43" spans="1:27" ht="12.75">
      <c r="A43" s="20"/>
      <c r="B43" s="51"/>
      <c r="C43" s="52"/>
      <c r="D43" s="14"/>
      <c r="E43" s="53"/>
      <c r="F43" s="54"/>
      <c r="G43" s="32"/>
      <c r="H43" s="33"/>
      <c r="I43" s="6"/>
      <c r="J43" s="6"/>
      <c r="K43" s="6"/>
      <c r="L43" s="6"/>
      <c r="AA43" s="7">
        <f>54/23</f>
        <v>2.347826086956522</v>
      </c>
    </row>
    <row r="44" spans="1:27" ht="12.75" hidden="1">
      <c r="A44" s="20" t="s">
        <v>105</v>
      </c>
      <c r="B44" s="50" t="s">
        <v>104</v>
      </c>
      <c r="C44" s="68"/>
      <c r="D44" s="73" t="s">
        <v>33</v>
      </c>
      <c r="E44" s="69">
        <v>0</v>
      </c>
      <c r="F44" s="21">
        <v>0</v>
      </c>
      <c r="G44" s="32">
        <f>AA66</f>
        <v>0</v>
      </c>
      <c r="H44" s="33">
        <f>AA67</f>
        <v>0</v>
      </c>
      <c r="I44" s="6"/>
      <c r="J44" s="6"/>
      <c r="K44" s="6"/>
      <c r="L44" s="6"/>
      <c r="AA44" s="7">
        <f>F35*E35</f>
        <v>15.84</v>
      </c>
    </row>
    <row r="45" spans="1:27" ht="13.5">
      <c r="A45" s="20" t="s">
        <v>126</v>
      </c>
      <c r="B45" s="50" t="s">
        <v>119</v>
      </c>
      <c r="C45" s="68"/>
      <c r="D45" s="73" t="s">
        <v>33</v>
      </c>
      <c r="E45" s="69">
        <v>1</v>
      </c>
      <c r="F45" s="21">
        <v>129</v>
      </c>
      <c r="G45" s="32">
        <f>AA68</f>
        <v>129</v>
      </c>
      <c r="H45" s="33">
        <f>AA69</f>
        <v>2580</v>
      </c>
      <c r="I45" s="6"/>
      <c r="J45" s="6"/>
      <c r="K45" s="6"/>
      <c r="L45" s="6"/>
      <c r="AA45" s="7">
        <f>G35*D3</f>
        <v>316.8</v>
      </c>
    </row>
    <row r="46" spans="1:27" ht="12.75">
      <c r="A46" s="20" t="s">
        <v>96</v>
      </c>
      <c r="B46" s="10"/>
      <c r="C46" s="10"/>
      <c r="D46" s="73" t="s">
        <v>33</v>
      </c>
      <c r="E46" s="69">
        <v>0</v>
      </c>
      <c r="F46" s="21">
        <v>0</v>
      </c>
      <c r="G46" s="32">
        <f>AA75</f>
        <v>0</v>
      </c>
      <c r="H46" s="33">
        <f>AA76</f>
        <v>0</v>
      </c>
      <c r="I46" s="6"/>
      <c r="J46" s="6"/>
      <c r="K46" s="6"/>
      <c r="L46" s="6"/>
      <c r="AA46" s="7">
        <f>F36*E36</f>
        <v>15.899999999999999</v>
      </c>
    </row>
    <row r="47" spans="1:27" ht="12.75">
      <c r="A47" s="20" t="s">
        <v>85</v>
      </c>
      <c r="B47" s="10"/>
      <c r="C47" s="10"/>
      <c r="D47" s="73" t="s">
        <v>33</v>
      </c>
      <c r="E47" s="69">
        <v>1</v>
      </c>
      <c r="F47" s="21">
        <v>12</v>
      </c>
      <c r="G47" s="32">
        <f>AA77</f>
        <v>12</v>
      </c>
      <c r="H47" s="33">
        <f>AA78</f>
        <v>240</v>
      </c>
      <c r="I47" s="6"/>
      <c r="J47" s="6"/>
      <c r="K47" s="6"/>
      <c r="L47" s="6"/>
      <c r="AA47" s="7">
        <f>G36*D3</f>
        <v>318</v>
      </c>
    </row>
    <row r="48" spans="1:27" ht="12.75">
      <c r="A48" s="20" t="s">
        <v>84</v>
      </c>
      <c r="B48" s="50" t="s">
        <v>116</v>
      </c>
      <c r="C48" s="68"/>
      <c r="D48" s="73" t="s">
        <v>24</v>
      </c>
      <c r="E48" s="71">
        <v>200</v>
      </c>
      <c r="F48" s="21">
        <v>0.4</v>
      </c>
      <c r="G48" s="32">
        <f>AA64</f>
        <v>80</v>
      </c>
      <c r="H48" s="33">
        <f>AA65</f>
        <v>1600</v>
      </c>
      <c r="I48" s="6"/>
      <c r="J48" s="6"/>
      <c r="K48" s="6"/>
      <c r="L48" s="6"/>
      <c r="AA48" s="7">
        <f>F37*E37</f>
        <v>0</v>
      </c>
    </row>
    <row r="49" spans="1:27" ht="12.75">
      <c r="A49" s="20" t="s">
        <v>92</v>
      </c>
      <c r="B49" s="10"/>
      <c r="C49" s="10"/>
      <c r="D49" s="73" t="s">
        <v>91</v>
      </c>
      <c r="E49" s="72">
        <v>0.05</v>
      </c>
      <c r="F49" s="76"/>
      <c r="G49" s="32">
        <f>AA73</f>
        <v>90</v>
      </c>
      <c r="H49" s="33">
        <f>AA74</f>
        <v>1800</v>
      </c>
      <c r="I49" s="6"/>
      <c r="J49" s="6"/>
      <c r="K49" s="31" t="s">
        <v>34</v>
      </c>
      <c r="L49" s="6"/>
      <c r="AA49" s="7">
        <f>G37*D3</f>
        <v>0</v>
      </c>
    </row>
    <row r="50" spans="1:27" ht="12.75">
      <c r="A50" s="13" t="s">
        <v>87</v>
      </c>
      <c r="B50" s="10"/>
      <c r="C50" s="10"/>
      <c r="D50" s="10"/>
      <c r="E50" s="10"/>
      <c r="F50" s="10"/>
      <c r="G50" s="10"/>
      <c r="H50" s="19"/>
      <c r="I50" s="6"/>
      <c r="J50" s="6"/>
      <c r="K50" s="31" t="s">
        <v>35</v>
      </c>
      <c r="L50" s="6"/>
      <c r="AA50" s="7">
        <f>23/9</f>
        <v>2.5555555555555554</v>
      </c>
    </row>
    <row r="51" spans="1:27" ht="12.75" hidden="1">
      <c r="A51" s="55" t="s">
        <v>90</v>
      </c>
      <c r="B51" s="10"/>
      <c r="C51" s="10"/>
      <c r="D51" s="73" t="s">
        <v>99</v>
      </c>
      <c r="E51" s="69">
        <v>0</v>
      </c>
      <c r="F51" s="21">
        <v>0</v>
      </c>
      <c r="G51" s="57">
        <f>AA79</f>
        <v>0</v>
      </c>
      <c r="H51" s="58">
        <f>AA80</f>
        <v>0</v>
      </c>
      <c r="I51" s="6"/>
      <c r="J51" s="6"/>
      <c r="K51" s="31" t="s">
        <v>37</v>
      </c>
      <c r="L51" s="6"/>
      <c r="AA51" s="7">
        <f>F38*E38</f>
        <v>29.4</v>
      </c>
    </row>
    <row r="52" spans="1:27" ht="12.75">
      <c r="A52" s="55" t="s">
        <v>89</v>
      </c>
      <c r="B52" s="10"/>
      <c r="C52" s="10"/>
      <c r="D52" s="73" t="s">
        <v>99</v>
      </c>
      <c r="E52" s="69">
        <v>20</v>
      </c>
      <c r="F52" s="21">
        <v>10.9</v>
      </c>
      <c r="G52" s="57">
        <f>AA81</f>
        <v>218</v>
      </c>
      <c r="H52" s="58">
        <f>AA82</f>
        <v>4360</v>
      </c>
      <c r="I52" s="6"/>
      <c r="J52" s="6"/>
      <c r="K52" s="31" t="s">
        <v>39</v>
      </c>
      <c r="L52" s="6"/>
      <c r="AA52" s="7">
        <f>G38*D3</f>
        <v>588</v>
      </c>
    </row>
    <row r="53" spans="1:27" ht="12.75">
      <c r="A53" s="55" t="s">
        <v>93</v>
      </c>
      <c r="B53" s="10"/>
      <c r="C53" s="10"/>
      <c r="D53" s="73" t="s">
        <v>99</v>
      </c>
      <c r="E53" s="69">
        <v>10</v>
      </c>
      <c r="F53" s="21">
        <v>10.9</v>
      </c>
      <c r="G53" s="57">
        <f>AA83</f>
        <v>109</v>
      </c>
      <c r="H53" s="58">
        <f>AA84</f>
        <v>2180</v>
      </c>
      <c r="I53" s="6"/>
      <c r="J53" s="6"/>
      <c r="K53" s="31" t="s">
        <v>40</v>
      </c>
      <c r="L53" s="6"/>
      <c r="AA53" s="7">
        <f>IF(UPPER(LEFT(D18,1))="Y",1,0)</f>
        <v>1</v>
      </c>
    </row>
    <row r="54" spans="1:27" ht="12.75">
      <c r="A54" s="55" t="s">
        <v>88</v>
      </c>
      <c r="B54" s="10"/>
      <c r="C54" s="10"/>
      <c r="D54" s="73" t="s">
        <v>99</v>
      </c>
      <c r="E54" s="69">
        <v>3</v>
      </c>
      <c r="F54" s="21">
        <v>14.2</v>
      </c>
      <c r="G54" s="57">
        <f>AA85</f>
        <v>42.599999999999994</v>
      </c>
      <c r="H54" s="58">
        <f>AA86</f>
        <v>851.9999999999999</v>
      </c>
      <c r="I54" s="6"/>
      <c r="J54" s="6"/>
      <c r="K54" s="6"/>
      <c r="L54" s="6"/>
      <c r="AA54" s="35">
        <f>D12</f>
        <v>42</v>
      </c>
    </row>
    <row r="55" spans="1:27" ht="12.75">
      <c r="A55" s="56" t="s">
        <v>97</v>
      </c>
      <c r="B55" s="10"/>
      <c r="C55" s="10"/>
      <c r="D55" s="73" t="s">
        <v>33</v>
      </c>
      <c r="E55" s="69">
        <v>0</v>
      </c>
      <c r="F55" s="21">
        <v>0</v>
      </c>
      <c r="G55" s="57">
        <f>AA87</f>
        <v>0</v>
      </c>
      <c r="H55" s="58">
        <f>AA88</f>
        <v>0</v>
      </c>
      <c r="I55" s="6"/>
      <c r="J55" s="6"/>
      <c r="K55" s="6"/>
      <c r="L55" s="6"/>
      <c r="AA55" s="7">
        <f>F39*E39</f>
        <v>42</v>
      </c>
    </row>
    <row r="56" spans="1:27" ht="12.75">
      <c r="A56" s="56" t="s">
        <v>98</v>
      </c>
      <c r="B56" s="10"/>
      <c r="C56" s="10"/>
      <c r="D56" s="73" t="s">
        <v>33</v>
      </c>
      <c r="E56" s="69">
        <v>0</v>
      </c>
      <c r="F56" s="21">
        <v>0</v>
      </c>
      <c r="G56" s="57">
        <f>AA89</f>
        <v>0</v>
      </c>
      <c r="H56" s="58">
        <f>AA80</f>
        <v>0</v>
      </c>
      <c r="I56" s="6"/>
      <c r="J56" s="6"/>
      <c r="K56" s="6"/>
      <c r="L56" s="6"/>
      <c r="AA56" s="7">
        <f>G39*D3</f>
        <v>840</v>
      </c>
    </row>
    <row r="57" spans="1:27" ht="12.75">
      <c r="A57" s="20" t="s">
        <v>94</v>
      </c>
      <c r="B57" s="10"/>
      <c r="C57" s="10"/>
      <c r="D57" s="73" t="s">
        <v>95</v>
      </c>
      <c r="E57" s="71">
        <v>2</v>
      </c>
      <c r="F57" s="21">
        <v>8</v>
      </c>
      <c r="G57" s="32">
        <f>AA71</f>
        <v>16</v>
      </c>
      <c r="H57" s="33">
        <f>AA72</f>
        <v>320</v>
      </c>
      <c r="I57" s="6"/>
      <c r="J57" s="30">
        <f>AA106</f>
        <v>940.6997250000001</v>
      </c>
      <c r="K57" s="31" t="s">
        <v>43</v>
      </c>
      <c r="L57" s="6"/>
      <c r="AA57" s="7">
        <f>F40*E40</f>
        <v>64.05</v>
      </c>
    </row>
    <row r="58" spans="1:27" ht="12.75">
      <c r="A58" s="55"/>
      <c r="B58" s="10"/>
      <c r="C58" s="10"/>
      <c r="D58" s="10"/>
      <c r="E58" s="10"/>
      <c r="F58" s="10"/>
      <c r="G58" s="10"/>
      <c r="H58" s="18"/>
      <c r="I58" s="6"/>
      <c r="J58" s="6"/>
      <c r="K58" s="6"/>
      <c r="L58" s="6"/>
      <c r="AA58" s="7">
        <f>G40*D3</f>
        <v>1281</v>
      </c>
    </row>
    <row r="59" spans="1:27" ht="12.75">
      <c r="A59" s="13"/>
      <c r="B59" s="10"/>
      <c r="C59" s="10"/>
      <c r="D59" s="22" t="s">
        <v>36</v>
      </c>
      <c r="E59" s="75"/>
      <c r="F59" s="10"/>
      <c r="G59" s="10"/>
      <c r="H59" s="19"/>
      <c r="I59" s="6"/>
      <c r="J59" s="6"/>
      <c r="K59" s="6"/>
      <c r="L59" s="6"/>
      <c r="AA59" s="7">
        <f>F41*E41</f>
        <v>18.4</v>
      </c>
    </row>
    <row r="60" spans="1:27" ht="12.75">
      <c r="A60" s="13"/>
      <c r="B60" s="10"/>
      <c r="C60" s="10"/>
      <c r="D60" s="22" t="s">
        <v>38</v>
      </c>
      <c r="E60" s="75"/>
      <c r="F60" s="10"/>
      <c r="G60" s="22" t="s">
        <v>15</v>
      </c>
      <c r="H60" s="45" t="s">
        <v>16</v>
      </c>
      <c r="I60" s="6"/>
      <c r="J60" s="6"/>
      <c r="K60" s="6"/>
      <c r="L60" s="6"/>
      <c r="AA60" s="7">
        <f>G41*D3</f>
        <v>368</v>
      </c>
    </row>
    <row r="61" spans="1:27" ht="13.5">
      <c r="A61" s="20" t="s">
        <v>127</v>
      </c>
      <c r="B61" s="10"/>
      <c r="C61" s="10"/>
      <c r="D61" s="15">
        <v>19</v>
      </c>
      <c r="E61" s="9"/>
      <c r="F61" s="10"/>
      <c r="G61" s="32">
        <f>AA92</f>
        <v>19</v>
      </c>
      <c r="H61" s="33">
        <f>AA93</f>
        <v>380</v>
      </c>
      <c r="I61" s="6"/>
      <c r="J61" s="6"/>
      <c r="K61" s="6"/>
      <c r="L61" s="6"/>
      <c r="AA61" s="7">
        <f>F42*E42</f>
        <v>0</v>
      </c>
    </row>
    <row r="62" spans="1:27" ht="13.5">
      <c r="A62" s="20" t="s">
        <v>128</v>
      </c>
      <c r="B62" s="10"/>
      <c r="C62" s="10"/>
      <c r="D62" s="15">
        <v>10</v>
      </c>
      <c r="E62" s="9"/>
      <c r="F62" s="10"/>
      <c r="G62" s="32">
        <f>AA95</f>
        <v>10</v>
      </c>
      <c r="H62" s="33">
        <f>AA96</f>
        <v>200</v>
      </c>
      <c r="I62" s="6"/>
      <c r="J62" s="6"/>
      <c r="K62" s="6"/>
      <c r="L62" s="6"/>
      <c r="AA62" s="7">
        <f>G42*D3</f>
        <v>0</v>
      </c>
    </row>
    <row r="63" spans="1:27" ht="12.75">
      <c r="A63" s="20" t="s">
        <v>41</v>
      </c>
      <c r="B63" s="10"/>
      <c r="C63" s="10"/>
      <c r="D63" s="15">
        <v>50</v>
      </c>
      <c r="E63" s="9"/>
      <c r="F63" s="10"/>
      <c r="G63" s="32">
        <f>AA98</f>
        <v>50</v>
      </c>
      <c r="H63" s="33">
        <f>AA99</f>
        <v>1000</v>
      </c>
      <c r="I63" s="6"/>
      <c r="J63" s="6"/>
      <c r="K63" s="31" t="s">
        <v>49</v>
      </c>
      <c r="L63" s="6"/>
      <c r="AA63" s="7">
        <f>441/380</f>
        <v>1.1605263157894736</v>
      </c>
    </row>
    <row r="64" spans="1:27" ht="12.75">
      <c r="A64" s="20" t="s">
        <v>117</v>
      </c>
      <c r="B64" s="10"/>
      <c r="C64" s="10"/>
      <c r="D64" s="15">
        <v>0</v>
      </c>
      <c r="E64" s="9"/>
      <c r="F64" s="10"/>
      <c r="G64" s="32">
        <f>AA101</f>
        <v>0</v>
      </c>
      <c r="H64" s="33">
        <f>AA102</f>
        <v>0</v>
      </c>
      <c r="I64" s="6"/>
      <c r="J64" s="6"/>
      <c r="K64" s="31" t="s">
        <v>50</v>
      </c>
      <c r="L64" s="6"/>
      <c r="AA64" s="7">
        <f>F48*E48</f>
        <v>80</v>
      </c>
    </row>
    <row r="65" spans="1:27" ht="12.75">
      <c r="A65" s="20" t="s">
        <v>42</v>
      </c>
      <c r="B65" s="14"/>
      <c r="C65" s="14"/>
      <c r="D65" s="15">
        <v>0</v>
      </c>
      <c r="E65" s="9"/>
      <c r="F65" s="14"/>
      <c r="G65" s="32">
        <f>AA104</f>
        <v>0</v>
      </c>
      <c r="H65" s="33">
        <f>AA105</f>
        <v>0</v>
      </c>
      <c r="I65" s="6"/>
      <c r="J65" s="6"/>
      <c r="K65" s="31" t="s">
        <v>51</v>
      </c>
      <c r="L65" s="6"/>
      <c r="AA65" s="7">
        <f>G48*D3</f>
        <v>1600</v>
      </c>
    </row>
    <row r="66" spans="1:27" ht="12.75">
      <c r="A66" s="20" t="s">
        <v>44</v>
      </c>
      <c r="B66" s="14"/>
      <c r="C66" s="22" t="s">
        <v>45</v>
      </c>
      <c r="D66" s="11" t="s">
        <v>83</v>
      </c>
      <c r="E66" s="9"/>
      <c r="F66" s="14"/>
      <c r="G66" s="14"/>
      <c r="H66" s="19"/>
      <c r="I66" s="6"/>
      <c r="J66" s="6"/>
      <c r="K66" s="31" t="s">
        <v>53</v>
      </c>
      <c r="L66" s="6"/>
      <c r="AA66" s="7">
        <f>F44*E44</f>
        <v>0</v>
      </c>
    </row>
    <row r="67" spans="1:27" ht="12.75">
      <c r="A67" s="20" t="s">
        <v>46</v>
      </c>
      <c r="B67" s="10"/>
      <c r="C67" s="15">
        <v>5.25</v>
      </c>
      <c r="D67" s="15">
        <v>50</v>
      </c>
      <c r="E67" s="9"/>
      <c r="F67" s="10"/>
      <c r="G67" s="32">
        <f>AA108</f>
        <v>47.03498625</v>
      </c>
      <c r="H67" s="33">
        <f>AA109</f>
        <v>940.6997250000001</v>
      </c>
      <c r="I67" s="6"/>
      <c r="J67" s="6"/>
      <c r="K67" s="6"/>
      <c r="L67" s="6"/>
      <c r="AA67" s="7">
        <f>G44*D3</f>
        <v>0</v>
      </c>
    </row>
    <row r="68" spans="1:27" ht="12.75">
      <c r="A68" s="17"/>
      <c r="B68" s="10"/>
      <c r="C68" s="10"/>
      <c r="D68" s="10"/>
      <c r="E68" s="75"/>
      <c r="F68" s="10"/>
      <c r="G68" s="22" t="s">
        <v>21</v>
      </c>
      <c r="H68" s="45" t="s">
        <v>21</v>
      </c>
      <c r="I68" s="6"/>
      <c r="J68" s="6"/>
      <c r="K68" s="6"/>
      <c r="L68" s="6"/>
      <c r="AA68" s="7">
        <f>F45*E45</f>
        <v>129</v>
      </c>
    </row>
    <row r="69" spans="1:27" ht="12.75">
      <c r="A69" s="20" t="s">
        <v>47</v>
      </c>
      <c r="B69" s="10"/>
      <c r="C69" s="10"/>
      <c r="D69" s="10"/>
      <c r="E69" s="75"/>
      <c r="F69" s="10"/>
      <c r="G69" s="32">
        <f>AA110</f>
        <v>1271.24398625</v>
      </c>
      <c r="H69" s="33">
        <f>AA111</f>
        <v>25424.879725</v>
      </c>
      <c r="I69" s="6"/>
      <c r="J69" s="6"/>
      <c r="K69" s="6"/>
      <c r="L69" s="6"/>
      <c r="AA69" s="7">
        <f>G45*D3</f>
        <v>2580</v>
      </c>
    </row>
    <row r="70" spans="1:27" ht="12.75">
      <c r="A70" s="13"/>
      <c r="B70" s="10"/>
      <c r="C70" s="10"/>
      <c r="D70" s="22" t="s">
        <v>36</v>
      </c>
      <c r="E70" s="75"/>
      <c r="F70" s="10"/>
      <c r="G70" s="10"/>
      <c r="H70" s="19"/>
      <c r="I70" s="6"/>
      <c r="J70" s="6"/>
      <c r="K70" s="6"/>
      <c r="L70" s="6"/>
      <c r="AA70" s="7">
        <f>527/68</f>
        <v>7.75</v>
      </c>
    </row>
    <row r="71" spans="1:27" ht="12.75">
      <c r="A71" s="20" t="s">
        <v>48</v>
      </c>
      <c r="B71" s="10"/>
      <c r="C71" s="10"/>
      <c r="D71" s="22" t="s">
        <v>38</v>
      </c>
      <c r="E71" s="75"/>
      <c r="F71" s="10"/>
      <c r="G71" s="22" t="s">
        <v>15</v>
      </c>
      <c r="H71" s="45" t="s">
        <v>16</v>
      </c>
      <c r="I71" s="6"/>
      <c r="J71" s="6"/>
      <c r="K71" s="6"/>
      <c r="L71" s="6"/>
      <c r="AA71" s="7">
        <f>F57*E57</f>
        <v>16</v>
      </c>
    </row>
    <row r="72" spans="1:27" ht="13.5">
      <c r="A72" s="20" t="s">
        <v>129</v>
      </c>
      <c r="B72" s="10"/>
      <c r="C72" s="14"/>
      <c r="D72" s="15">
        <v>35</v>
      </c>
      <c r="E72" s="9"/>
      <c r="F72" s="10"/>
      <c r="G72" s="32">
        <f>AA113</f>
        <v>35</v>
      </c>
      <c r="H72" s="33">
        <f>AA114</f>
        <v>700</v>
      </c>
      <c r="I72" s="6"/>
      <c r="J72" s="6"/>
      <c r="K72" s="6"/>
      <c r="L72" s="6"/>
      <c r="AA72" s="7">
        <f>G57*D3</f>
        <v>320</v>
      </c>
    </row>
    <row r="73" spans="1:27" ht="13.5">
      <c r="A73" s="20" t="s">
        <v>137</v>
      </c>
      <c r="B73" s="10"/>
      <c r="C73" s="14"/>
      <c r="D73" s="15">
        <v>21</v>
      </c>
      <c r="E73" s="9"/>
      <c r="F73" s="10"/>
      <c r="G73" s="32">
        <f>AA116</f>
        <v>21</v>
      </c>
      <c r="H73" s="33">
        <f>AA117</f>
        <v>420</v>
      </c>
      <c r="I73" s="6"/>
      <c r="J73" s="6"/>
      <c r="K73" s="6"/>
      <c r="L73" s="6"/>
      <c r="AA73" s="7">
        <f>AA130*E49</f>
        <v>90</v>
      </c>
    </row>
    <row r="74" spans="1:27" ht="13.5">
      <c r="A74" s="20" t="s">
        <v>130</v>
      </c>
      <c r="B74" s="10"/>
      <c r="C74" s="14"/>
      <c r="D74" s="15">
        <v>275</v>
      </c>
      <c r="E74" s="9"/>
      <c r="F74" s="10"/>
      <c r="G74" s="32">
        <f>AA118</f>
        <v>275</v>
      </c>
      <c r="H74" s="33">
        <f>AA119</f>
        <v>5500</v>
      </c>
      <c r="I74" s="6"/>
      <c r="J74" s="6"/>
      <c r="K74" s="6"/>
      <c r="L74" s="6"/>
      <c r="AA74" s="7">
        <f>G49*D3</f>
        <v>1800</v>
      </c>
    </row>
    <row r="75" spans="1:27" ht="12.75">
      <c r="A75" s="20" t="s">
        <v>145</v>
      </c>
      <c r="B75" s="10"/>
      <c r="C75" s="14"/>
      <c r="D75" s="15" t="s">
        <v>20</v>
      </c>
      <c r="E75" s="9"/>
      <c r="F75" s="10"/>
      <c r="G75" s="32" t="str">
        <f>AA120</f>
        <v>-</v>
      </c>
      <c r="H75" s="33">
        <f>AA121</f>
        <v>0</v>
      </c>
      <c r="I75" s="6"/>
      <c r="J75" s="6"/>
      <c r="K75" s="6"/>
      <c r="L75" s="6"/>
      <c r="AA75" s="7">
        <f>F46*E46</f>
        <v>0</v>
      </c>
    </row>
    <row r="76" spans="1:27" ht="12.75">
      <c r="A76" s="20" t="s">
        <v>52</v>
      </c>
      <c r="B76" s="10"/>
      <c r="C76" s="14"/>
      <c r="D76" s="15">
        <v>0</v>
      </c>
      <c r="E76" s="9"/>
      <c r="F76" s="10"/>
      <c r="G76" s="32">
        <f>AA123</f>
        <v>0</v>
      </c>
      <c r="H76" s="33">
        <f>AA124</f>
        <v>0</v>
      </c>
      <c r="I76" s="6"/>
      <c r="J76" s="6"/>
      <c r="K76" s="6"/>
      <c r="L76" s="6"/>
      <c r="AA76" s="7">
        <f>G46*D3</f>
        <v>0</v>
      </c>
    </row>
    <row r="77" spans="1:27" ht="13.5">
      <c r="A77" s="20" t="s">
        <v>131</v>
      </c>
      <c r="B77" s="10"/>
      <c r="C77" s="14"/>
      <c r="D77" s="15">
        <v>6</v>
      </c>
      <c r="E77" s="9"/>
      <c r="F77" s="10"/>
      <c r="G77" s="32">
        <f>AA126</f>
        <v>6</v>
      </c>
      <c r="H77" s="33">
        <f>AA127</f>
        <v>120</v>
      </c>
      <c r="I77" s="6"/>
      <c r="J77" s="6"/>
      <c r="K77" s="6"/>
      <c r="L77" s="6"/>
      <c r="AA77" s="7">
        <f>F47*E47</f>
        <v>12</v>
      </c>
    </row>
    <row r="78" spans="1:27" ht="12.75">
      <c r="A78" s="17"/>
      <c r="B78" s="10"/>
      <c r="C78" s="10"/>
      <c r="D78" s="10"/>
      <c r="E78" s="10"/>
      <c r="F78" s="10"/>
      <c r="G78" s="22" t="s">
        <v>21</v>
      </c>
      <c r="H78" s="45" t="s">
        <v>21</v>
      </c>
      <c r="I78" s="6"/>
      <c r="J78" s="6"/>
      <c r="K78" s="6"/>
      <c r="L78" s="6"/>
      <c r="AA78" s="7">
        <f>G47*D3</f>
        <v>240</v>
      </c>
    </row>
    <row r="79" spans="1:27" ht="12.75">
      <c r="A79" s="20" t="s">
        <v>54</v>
      </c>
      <c r="B79" s="14"/>
      <c r="C79" s="14"/>
      <c r="D79" s="14"/>
      <c r="E79" s="14"/>
      <c r="F79" s="14"/>
      <c r="G79" s="32">
        <f>AA128</f>
        <v>337</v>
      </c>
      <c r="H79" s="33">
        <f>AA129</f>
        <v>6740</v>
      </c>
      <c r="I79" s="6"/>
      <c r="J79" s="6"/>
      <c r="K79" s="6"/>
      <c r="L79" s="6"/>
      <c r="AA79" s="7">
        <f>F51*E51</f>
        <v>0</v>
      </c>
    </row>
    <row r="80" spans="1:27" ht="12.75">
      <c r="A80" s="41"/>
      <c r="B80" s="41"/>
      <c r="C80" s="41"/>
      <c r="D80" s="41"/>
      <c r="E80" s="41"/>
      <c r="F80" s="41"/>
      <c r="G80" s="41"/>
      <c r="H80" s="41"/>
      <c r="I80" s="6"/>
      <c r="J80" s="6"/>
      <c r="K80" s="6"/>
      <c r="L80" s="6"/>
      <c r="AA80" s="7">
        <f>G51*D3</f>
        <v>0</v>
      </c>
    </row>
    <row r="81" spans="1:27" ht="12.75">
      <c r="A81" s="20" t="s">
        <v>55</v>
      </c>
      <c r="B81" s="10"/>
      <c r="C81" s="10"/>
      <c r="D81" s="10"/>
      <c r="E81" s="22" t="s">
        <v>15</v>
      </c>
      <c r="F81" s="22" t="s">
        <v>16</v>
      </c>
      <c r="G81" s="10"/>
      <c r="H81" s="19"/>
      <c r="I81" s="6"/>
      <c r="J81" s="6"/>
      <c r="K81" s="6"/>
      <c r="L81" s="6"/>
      <c r="AA81" s="7">
        <f>F52*E52</f>
        <v>218</v>
      </c>
    </row>
    <row r="82" spans="1:27" ht="12.75">
      <c r="A82" s="20" t="s">
        <v>56</v>
      </c>
      <c r="B82" s="10"/>
      <c r="C82" s="10"/>
      <c r="D82" s="10"/>
      <c r="E82" s="32">
        <f>AA130</f>
        <v>1800</v>
      </c>
      <c r="F82" s="32">
        <f>AA131</f>
        <v>36000</v>
      </c>
      <c r="G82" s="10"/>
      <c r="H82" s="19"/>
      <c r="I82" s="6"/>
      <c r="J82" s="6"/>
      <c r="K82" s="6"/>
      <c r="L82" s="6"/>
      <c r="AA82" s="7">
        <f>G52*D3</f>
        <v>4360</v>
      </c>
    </row>
    <row r="83" spans="1:27" ht="12.75">
      <c r="A83" s="20"/>
      <c r="B83" s="10"/>
      <c r="C83" s="10"/>
      <c r="D83" s="10"/>
      <c r="E83" s="32"/>
      <c r="F83" s="32"/>
      <c r="G83" s="10"/>
      <c r="H83" s="19"/>
      <c r="I83" s="6"/>
      <c r="J83" s="6"/>
      <c r="K83" s="6"/>
      <c r="L83" s="6"/>
      <c r="AA83" s="7">
        <f>F53*E53</f>
        <v>109</v>
      </c>
    </row>
    <row r="84" spans="1:27" ht="12.75">
      <c r="A84" s="20" t="s">
        <v>57</v>
      </c>
      <c r="B84" s="10"/>
      <c r="C84" s="10"/>
      <c r="D84" s="10"/>
      <c r="E84" s="32">
        <f>AA134</f>
        <v>1271.24398625</v>
      </c>
      <c r="F84" s="32">
        <f>AA135</f>
        <v>25424.879725</v>
      </c>
      <c r="G84" s="10"/>
      <c r="H84" s="19"/>
      <c r="I84" s="6"/>
      <c r="J84" s="6"/>
      <c r="K84" s="6"/>
      <c r="L84" s="6"/>
      <c r="AA84" s="7">
        <f>G53*D3</f>
        <v>2180</v>
      </c>
    </row>
    <row r="85" spans="1:27" ht="12.75">
      <c r="A85" s="17"/>
      <c r="B85" s="10"/>
      <c r="C85" s="10"/>
      <c r="D85" s="10"/>
      <c r="E85" s="22" t="s">
        <v>21</v>
      </c>
      <c r="F85" s="22" t="s">
        <v>21</v>
      </c>
      <c r="G85" s="10"/>
      <c r="H85" s="18"/>
      <c r="I85" s="6"/>
      <c r="J85" s="6"/>
      <c r="K85" s="6"/>
      <c r="L85" s="6"/>
      <c r="AA85" s="7">
        <f>F54*E54</f>
        <v>42.599999999999994</v>
      </c>
    </row>
    <row r="86" spans="1:27" ht="12.75">
      <c r="A86" s="20" t="s">
        <v>58</v>
      </c>
      <c r="B86" s="10"/>
      <c r="C86" s="10"/>
      <c r="D86" s="10"/>
      <c r="E86" s="32">
        <f>AA136</f>
        <v>528.7560137500001</v>
      </c>
      <c r="F86" s="32">
        <f>AA137</f>
        <v>10575.120275000001</v>
      </c>
      <c r="G86" s="10"/>
      <c r="H86" s="19"/>
      <c r="I86" s="6"/>
      <c r="J86" s="6"/>
      <c r="K86" s="6"/>
      <c r="L86" s="6"/>
      <c r="AA86" s="7">
        <f>G54*D3</f>
        <v>851.9999999999999</v>
      </c>
    </row>
    <row r="87" spans="1:27" ht="12.75">
      <c r="A87" s="20" t="s">
        <v>59</v>
      </c>
      <c r="B87" s="10"/>
      <c r="C87" s="10"/>
      <c r="D87" s="10"/>
      <c r="E87" s="32">
        <f>AA138</f>
        <v>337</v>
      </c>
      <c r="F87" s="32">
        <f>AA139</f>
        <v>6740</v>
      </c>
      <c r="G87" s="10"/>
      <c r="H87" s="19"/>
      <c r="I87" s="6"/>
      <c r="J87" s="6"/>
      <c r="K87" s="6"/>
      <c r="L87" s="6"/>
      <c r="AA87" s="7">
        <f>F55*E55</f>
        <v>0</v>
      </c>
    </row>
    <row r="88" spans="1:27" ht="12.75">
      <c r="A88" s="17"/>
      <c r="B88" s="10"/>
      <c r="C88" s="10"/>
      <c r="D88" s="10"/>
      <c r="E88" s="22" t="s">
        <v>21</v>
      </c>
      <c r="F88" s="22" t="s">
        <v>21</v>
      </c>
      <c r="G88" s="10"/>
      <c r="H88" s="18"/>
      <c r="I88" s="6"/>
      <c r="J88" s="6"/>
      <c r="K88" s="6"/>
      <c r="L88" s="6"/>
      <c r="AA88" s="7">
        <f>G55*D3</f>
        <v>0</v>
      </c>
    </row>
    <row r="89" spans="1:27" ht="12.75">
      <c r="A89" s="20" t="s">
        <v>60</v>
      </c>
      <c r="B89" s="10"/>
      <c r="C89" s="10"/>
      <c r="D89" s="10"/>
      <c r="E89" s="32">
        <f>AA140</f>
        <v>191.75601375000005</v>
      </c>
      <c r="F89" s="32">
        <f>AA141</f>
        <v>3835.120275000001</v>
      </c>
      <c r="G89" s="10"/>
      <c r="H89" s="19"/>
      <c r="I89" s="38">
        <f>AA148</f>
        <v>191.75601375000005</v>
      </c>
      <c r="J89" s="6"/>
      <c r="K89" s="6"/>
      <c r="L89" s="6"/>
      <c r="AA89" s="7">
        <f>F56*E56</f>
        <v>0</v>
      </c>
    </row>
    <row r="90" spans="1:27" ht="12.75">
      <c r="A90" s="13"/>
      <c r="B90" s="10"/>
      <c r="C90" s="10"/>
      <c r="D90" s="10"/>
      <c r="E90" s="10"/>
      <c r="F90" s="10"/>
      <c r="G90" s="10"/>
      <c r="H90" s="19"/>
      <c r="I90" s="38">
        <f>AA149</f>
        <v>328.097264</v>
      </c>
      <c r="J90" s="6"/>
      <c r="K90" s="6"/>
      <c r="L90" s="6"/>
      <c r="AA90" s="7">
        <f>G56*D3</f>
        <v>0</v>
      </c>
    </row>
    <row r="91" spans="1:27" ht="12.75">
      <c r="A91" s="20" t="s">
        <v>122</v>
      </c>
      <c r="B91" s="10"/>
      <c r="C91" s="10"/>
      <c r="D91" s="10"/>
      <c r="E91" s="11" t="s">
        <v>61</v>
      </c>
      <c r="F91" s="10"/>
      <c r="G91" s="25">
        <f>AA142</f>
        <v>1.27124398625</v>
      </c>
      <c r="H91" s="19"/>
      <c r="I91" s="38">
        <f>AA150</f>
        <v>0.19999999999999996</v>
      </c>
      <c r="J91" s="6"/>
      <c r="K91" s="6"/>
      <c r="L91" s="6"/>
      <c r="AA91" s="7">
        <f>IF(K49=0,0,HLOOKUP(A1,(K21),2,FALSE)*(K49)*0.01)</f>
        <v>0</v>
      </c>
    </row>
    <row r="92" spans="1:27" ht="12.75">
      <c r="A92" s="13"/>
      <c r="B92" s="10"/>
      <c r="C92" s="10"/>
      <c r="D92" s="10"/>
      <c r="E92" s="11" t="s">
        <v>62</v>
      </c>
      <c r="F92" s="10"/>
      <c r="G92" s="25">
        <f>AA143</f>
        <v>0.337</v>
      </c>
      <c r="H92" s="19"/>
      <c r="I92" s="38">
        <f>AA151</f>
        <v>626.9647773465883</v>
      </c>
      <c r="J92" s="6"/>
      <c r="K92" s="6"/>
      <c r="L92" s="6"/>
      <c r="AA92" s="7">
        <f>H61/D3</f>
        <v>19</v>
      </c>
    </row>
    <row r="93" spans="1:27" ht="12.75">
      <c r="A93" s="17"/>
      <c r="B93" s="10"/>
      <c r="C93" s="10"/>
      <c r="D93" s="10"/>
      <c r="E93" s="10"/>
      <c r="F93" s="10"/>
      <c r="G93" s="22" t="s">
        <v>21</v>
      </c>
      <c r="H93" s="18"/>
      <c r="I93" s="6"/>
      <c r="J93" s="6"/>
      <c r="K93" s="6"/>
      <c r="L93" s="6"/>
      <c r="AA93" s="7">
        <f>IF(E61=0,D61*D3,IF((K49)&gt;0,E61,D61*D3))</f>
        <v>380</v>
      </c>
    </row>
    <row r="94" spans="1:27" ht="12.75">
      <c r="A94" s="13"/>
      <c r="B94" s="14"/>
      <c r="C94" s="14"/>
      <c r="D94" s="14"/>
      <c r="E94" s="11" t="s">
        <v>63</v>
      </c>
      <c r="F94" s="14"/>
      <c r="G94" s="25">
        <f>AA144</f>
        <v>1.60824398625</v>
      </c>
      <c r="H94" s="19"/>
      <c r="I94" s="38">
        <f>AA154</f>
        <v>0.3058481443910471</v>
      </c>
      <c r="J94" s="38">
        <f>AA155</f>
        <v>0.3058481443910471</v>
      </c>
      <c r="K94" s="6"/>
      <c r="L94" s="6"/>
      <c r="AA94" s="7">
        <f>IF(K50=0,0,HLOOKUP(A1,(K21),3,FALSE)*(K50)*0.01)</f>
        <v>0</v>
      </c>
    </row>
    <row r="95" spans="1:27" ht="12.75">
      <c r="A95" s="41"/>
      <c r="B95" s="41"/>
      <c r="C95" s="41"/>
      <c r="D95" s="41"/>
      <c r="E95" s="41"/>
      <c r="F95" s="41"/>
      <c r="G95" s="41"/>
      <c r="H95" s="41"/>
      <c r="I95" s="38">
        <f>AA157</f>
        <v>0.9338400079090555</v>
      </c>
      <c r="J95" s="38">
        <f>AA158</f>
        <v>0.9338400079090555</v>
      </c>
      <c r="K95" s="6"/>
      <c r="L95" s="6"/>
      <c r="AA95" s="7">
        <f>H62/D3</f>
        <v>10</v>
      </c>
    </row>
    <row r="96" spans="1:27" ht="12.75">
      <c r="A96" s="59"/>
      <c r="B96" s="3" t="s">
        <v>64</v>
      </c>
      <c r="C96" s="2"/>
      <c r="D96" s="2"/>
      <c r="E96" s="2"/>
      <c r="F96" s="2"/>
      <c r="G96" s="60">
        <f>AA145</f>
        <v>0.6201397999528395</v>
      </c>
      <c r="H96" s="61"/>
      <c r="I96" s="38">
        <f>AA160</f>
        <v>0.38071276895901485</v>
      </c>
      <c r="J96" s="38">
        <f>AA161</f>
        <v>0.38071276895901485</v>
      </c>
      <c r="K96" s="6"/>
      <c r="L96" s="6"/>
      <c r="AA96" s="7">
        <f>IF(E62=0,D62*D3,IF((K51)&gt;0,E62,D62*D3))</f>
        <v>200</v>
      </c>
    </row>
    <row r="97" spans="1:27" ht="12.75">
      <c r="A97" s="13"/>
      <c r="B97" s="11" t="s">
        <v>65</v>
      </c>
      <c r="C97" s="10"/>
      <c r="D97" s="15">
        <v>0</v>
      </c>
      <c r="E97" s="11" t="s">
        <v>66</v>
      </c>
      <c r="F97" s="10"/>
      <c r="G97" s="36">
        <f>AA146</f>
        <v>0.6201397999528395</v>
      </c>
      <c r="H97" s="19"/>
      <c r="I97" s="38">
        <f>AA163</f>
        <v>0.3798602000471604</v>
      </c>
      <c r="J97" s="38">
        <f>AA164</f>
        <v>0.3798602000471604</v>
      </c>
      <c r="K97" s="6"/>
      <c r="L97" s="6"/>
      <c r="AA97" s="7">
        <f>IF(K51=0,0,HLOOKUP(A1,(K21),4,FALSE)*(K51)*0.01)</f>
        <v>0</v>
      </c>
    </row>
    <row r="98" spans="1:27" ht="12.75">
      <c r="A98" s="13"/>
      <c r="B98" s="11" t="s">
        <v>67</v>
      </c>
      <c r="C98" s="10"/>
      <c r="D98" s="10"/>
      <c r="E98" s="10"/>
      <c r="F98" s="10"/>
      <c r="G98" s="25">
        <f>AA147</f>
        <v>0.3483137651925491</v>
      </c>
      <c r="H98" s="19"/>
      <c r="I98" s="6"/>
      <c r="J98" s="6"/>
      <c r="K98" s="6"/>
      <c r="L98" s="6"/>
      <c r="AA98" s="7">
        <f>H63/D3</f>
        <v>50</v>
      </c>
    </row>
    <row r="99" spans="1:27" ht="12.75">
      <c r="A99" s="13"/>
      <c r="B99" s="14"/>
      <c r="C99" s="14"/>
      <c r="D99" s="14"/>
      <c r="E99" s="14"/>
      <c r="F99" s="14"/>
      <c r="G99" s="14"/>
      <c r="H99" s="37"/>
      <c r="I99" s="6"/>
      <c r="J99" s="6"/>
      <c r="K99" s="6"/>
      <c r="L99" s="6"/>
      <c r="AA99" s="7">
        <f>IF(E63=0,D63*D3,IF((K50)&gt;0,E63,D63*D3))</f>
        <v>1000</v>
      </c>
    </row>
    <row r="100" spans="1:27" ht="12.75">
      <c r="A100" s="13"/>
      <c r="B100" s="14"/>
      <c r="C100" s="22" t="s">
        <v>68</v>
      </c>
      <c r="D100" s="46"/>
      <c r="E100" s="22" t="s">
        <v>69</v>
      </c>
      <c r="F100" s="10"/>
      <c r="G100" s="14"/>
      <c r="H100" s="37"/>
      <c r="I100" s="6"/>
      <c r="J100" s="6"/>
      <c r="K100" s="6"/>
      <c r="L100" s="6"/>
      <c r="AA100" s="7">
        <f>IF(K52=0,0,HLOOKUP(A1,(K21),5,FALSE)*(K52)*0.01)</f>
        <v>0</v>
      </c>
    </row>
    <row r="101" spans="1:27" ht="12.75">
      <c r="A101" s="13"/>
      <c r="B101" s="14"/>
      <c r="C101" s="46"/>
      <c r="D101" s="46"/>
      <c r="E101" s="22" t="s">
        <v>70</v>
      </c>
      <c r="F101" s="10"/>
      <c r="G101" s="14"/>
      <c r="H101" s="37"/>
      <c r="I101" s="6"/>
      <c r="J101" s="6"/>
      <c r="K101" s="6"/>
      <c r="L101" s="6"/>
      <c r="AA101" s="7">
        <f>H64/D3</f>
        <v>0</v>
      </c>
    </row>
    <row r="102" spans="1:27" ht="12.75">
      <c r="A102" s="13"/>
      <c r="B102" s="14"/>
      <c r="C102" s="46"/>
      <c r="D102" s="46"/>
      <c r="E102" s="46"/>
      <c r="F102" s="10"/>
      <c r="G102" s="14"/>
      <c r="H102" s="37"/>
      <c r="I102" s="6"/>
      <c r="J102" s="6"/>
      <c r="K102" s="6"/>
      <c r="L102" s="6"/>
      <c r="AA102" s="7">
        <f>IF(E64=0,D64*D3,IF((K52)&gt;0,E64,D64*D3))</f>
        <v>0</v>
      </c>
    </row>
    <row r="103" spans="1:27" ht="12.75">
      <c r="A103" s="13"/>
      <c r="B103" s="14"/>
      <c r="C103" s="32">
        <f>AA152</f>
        <v>799.9118477761907</v>
      </c>
      <c r="D103" s="46"/>
      <c r="E103" s="22" t="s">
        <v>71</v>
      </c>
      <c r="F103" s="10"/>
      <c r="G103" s="14"/>
      <c r="H103" s="19"/>
      <c r="I103" s="6"/>
      <c r="J103" s="6"/>
      <c r="K103" s="6"/>
      <c r="L103" s="6"/>
      <c r="AA103" s="7">
        <f>IF(K53=0,0,HLOOKUP(A1,(K21),6,FALSE)*(K53)*0.01)</f>
        <v>0</v>
      </c>
    </row>
    <row r="104" spans="1:27" ht="12.75">
      <c r="A104" s="13"/>
      <c r="B104" s="14"/>
      <c r="C104" s="32">
        <f>AA153</f>
        <v>461.350868009033</v>
      </c>
      <c r="D104" s="46"/>
      <c r="E104" s="22" t="s">
        <v>72</v>
      </c>
      <c r="F104" s="10"/>
      <c r="G104" s="14"/>
      <c r="H104" s="37"/>
      <c r="I104" s="6"/>
      <c r="J104" s="6"/>
      <c r="K104" s="6"/>
      <c r="L104" s="6"/>
      <c r="AA104" s="7">
        <f>H65/D3</f>
        <v>0</v>
      </c>
    </row>
    <row r="105" spans="1:27" ht="12.75">
      <c r="A105" s="13"/>
      <c r="B105" s="14"/>
      <c r="C105" s="32">
        <f>AA156</f>
        <v>191.75601375000005</v>
      </c>
      <c r="D105" s="46"/>
      <c r="E105" s="22" t="s">
        <v>73</v>
      </c>
      <c r="F105" s="10"/>
      <c r="G105" s="14"/>
      <c r="H105" s="37"/>
      <c r="I105" s="6"/>
      <c r="J105" s="6"/>
      <c r="K105" s="6"/>
      <c r="L105" s="6"/>
      <c r="AA105" s="7">
        <f>IF(E65=0,D65*D3,IF((K53)&gt;0,E65,D65*D3))</f>
        <v>0</v>
      </c>
    </row>
    <row r="106" spans="1:27" ht="12.75">
      <c r="A106" s="13"/>
      <c r="B106" s="14"/>
      <c r="C106" s="32">
        <f>AA159</f>
        <v>-77.8388405090329</v>
      </c>
      <c r="D106" s="46"/>
      <c r="E106" s="22" t="s">
        <v>74</v>
      </c>
      <c r="F106" s="10"/>
      <c r="G106" s="14"/>
      <c r="H106" s="37"/>
      <c r="I106" s="6"/>
      <c r="J106" s="6"/>
      <c r="K106" s="6"/>
      <c r="L106" s="6"/>
      <c r="AA106" s="7">
        <f>SUM(H23:H57,H46:H65)*C67*D67*0.0001</f>
        <v>940.6997250000001</v>
      </c>
    </row>
    <row r="107" spans="1:27" ht="12.75">
      <c r="A107" s="13"/>
      <c r="B107" s="14"/>
      <c r="C107" s="32">
        <f>AA162</f>
        <v>-416.39982027619055</v>
      </c>
      <c r="D107" s="46"/>
      <c r="E107" s="22" t="s">
        <v>75</v>
      </c>
      <c r="F107" s="10"/>
      <c r="G107" s="14"/>
      <c r="H107" s="37"/>
      <c r="I107" s="6"/>
      <c r="J107" s="6"/>
      <c r="K107" s="6"/>
      <c r="L107" s="6"/>
      <c r="AA107" s="7">
        <f>IF(K57=0,0,HLOOKUP(A1,(K21),7,FALSE)*(K57)*0.01)</f>
        <v>0</v>
      </c>
    </row>
    <row r="108" spans="1:27" ht="12.75">
      <c r="A108" s="13"/>
      <c r="B108" s="14"/>
      <c r="C108" s="14"/>
      <c r="D108" s="14"/>
      <c r="E108" s="14"/>
      <c r="F108" s="14"/>
      <c r="G108" s="14"/>
      <c r="H108" s="16"/>
      <c r="I108" s="6"/>
      <c r="J108" s="6"/>
      <c r="K108" s="6"/>
      <c r="L108" s="6"/>
      <c r="AA108" s="7">
        <f>H67/D3</f>
        <v>47.03498625</v>
      </c>
    </row>
    <row r="109" spans="1:27" ht="12.75">
      <c r="A109" s="78" t="s">
        <v>139</v>
      </c>
      <c r="B109" s="14"/>
      <c r="C109" s="14"/>
      <c r="D109" s="14"/>
      <c r="E109" s="14"/>
      <c r="F109" s="14"/>
      <c r="G109" s="14"/>
      <c r="H109" s="16"/>
      <c r="I109" s="6"/>
      <c r="J109" s="6"/>
      <c r="K109" s="6"/>
      <c r="L109" s="6"/>
      <c r="AA109" s="7">
        <f>IF(E67=0,J57,IF((K57)&gt;0,E67,J57))</f>
        <v>940.6997250000001</v>
      </c>
    </row>
    <row r="110" spans="1:27" ht="12.75">
      <c r="A110" s="78" t="s">
        <v>132</v>
      </c>
      <c r="B110" s="14"/>
      <c r="C110" s="14"/>
      <c r="D110" s="14"/>
      <c r="E110" s="14"/>
      <c r="F110" s="14"/>
      <c r="G110" s="14"/>
      <c r="H110" s="16"/>
      <c r="I110" s="6"/>
      <c r="J110" s="6"/>
      <c r="K110" s="6"/>
      <c r="L110" s="6"/>
      <c r="AA110" s="7">
        <f>H69/D3</f>
        <v>1271.24398625</v>
      </c>
    </row>
    <row r="111" spans="1:27" ht="12.75">
      <c r="A111" s="13"/>
      <c r="B111" s="14" t="s">
        <v>134</v>
      </c>
      <c r="C111" s="14"/>
      <c r="D111" s="14"/>
      <c r="E111" s="14"/>
      <c r="F111" s="14"/>
      <c r="G111" s="14"/>
      <c r="H111" s="16"/>
      <c r="I111" s="6"/>
      <c r="J111" s="6"/>
      <c r="K111" s="6"/>
      <c r="L111" s="6"/>
      <c r="AA111" s="8">
        <f>SUM(H23:H67)</f>
        <v>25424.879725</v>
      </c>
    </row>
    <row r="112" spans="1:27" ht="12.75">
      <c r="A112" s="13"/>
      <c r="B112" s="14" t="s">
        <v>135</v>
      </c>
      <c r="C112" s="14"/>
      <c r="D112" s="14"/>
      <c r="E112" s="14"/>
      <c r="F112" s="14"/>
      <c r="G112" s="14"/>
      <c r="H112" s="16"/>
      <c r="I112" s="6"/>
      <c r="J112" s="6"/>
      <c r="K112" s="6"/>
      <c r="L112" s="6"/>
      <c r="AA112" s="7">
        <f>IF(K63=0,0,HLOOKUP(A1,(K21),9,FALSE)*(K63)*0.01)</f>
        <v>0</v>
      </c>
    </row>
    <row r="113" spans="1:27" ht="12.75">
      <c r="A113" s="13"/>
      <c r="B113" s="14" t="s">
        <v>147</v>
      </c>
      <c r="C113" s="14"/>
      <c r="D113" s="14"/>
      <c r="E113" s="14"/>
      <c r="F113" s="14"/>
      <c r="G113" s="14"/>
      <c r="H113" s="16"/>
      <c r="I113" s="6"/>
      <c r="J113" s="6"/>
      <c r="K113" s="6"/>
      <c r="L113" s="6"/>
      <c r="AA113" s="7">
        <f>H72/D3</f>
        <v>35</v>
      </c>
    </row>
    <row r="114" spans="1:27" ht="12.75">
      <c r="A114" s="78" t="s">
        <v>138</v>
      </c>
      <c r="B114" s="14"/>
      <c r="C114" s="14"/>
      <c r="D114" s="14"/>
      <c r="E114" s="14"/>
      <c r="F114" s="14"/>
      <c r="G114" s="14"/>
      <c r="H114" s="16"/>
      <c r="I114" s="6"/>
      <c r="J114" s="6"/>
      <c r="K114" s="6"/>
      <c r="L114" s="6"/>
      <c r="AA114" s="7">
        <f>IF(E72=0,D72*D3,IF((K63)&gt;0,E72,D72*D3))</f>
        <v>700</v>
      </c>
    </row>
    <row r="115" spans="1:27" ht="12.75">
      <c r="A115" s="78" t="s">
        <v>136</v>
      </c>
      <c r="B115" s="14"/>
      <c r="C115" s="14"/>
      <c r="D115" s="14"/>
      <c r="E115" s="14"/>
      <c r="F115" s="14"/>
      <c r="G115" s="14"/>
      <c r="H115" s="16"/>
      <c r="I115" s="6"/>
      <c r="J115" s="6"/>
      <c r="K115" s="6"/>
      <c r="L115" s="6"/>
      <c r="AA115" s="7">
        <f>IF(K64=0,0,HLOOKUP(A1,(K21),10,FALSE)*(K64)*0.01)</f>
        <v>0</v>
      </c>
    </row>
    <row r="116" spans="1:27" ht="12.75">
      <c r="A116" s="62"/>
      <c r="B116" s="63"/>
      <c r="C116" s="64"/>
      <c r="D116" s="64"/>
      <c r="E116" s="42"/>
      <c r="F116" s="64"/>
      <c r="G116" s="64"/>
      <c r="H116" s="65"/>
      <c r="I116" s="6"/>
      <c r="J116" s="6"/>
      <c r="K116" s="6"/>
      <c r="L116" s="6"/>
      <c r="AA116" s="7">
        <f>H73/D3</f>
        <v>21</v>
      </c>
    </row>
    <row r="117" spans="1:27" ht="12.75">
      <c r="A117" s="79"/>
      <c r="B117" s="43"/>
      <c r="C117" s="43"/>
      <c r="D117" s="43"/>
      <c r="E117" s="43"/>
      <c r="F117" s="43"/>
      <c r="G117" s="43"/>
      <c r="H117" s="80"/>
      <c r="I117" s="6"/>
      <c r="J117" s="6"/>
      <c r="K117" s="6"/>
      <c r="L117" s="6"/>
      <c r="AA117" s="7">
        <f>IF(E73=0,D73*D3,IF((K64)&gt;0,E73,D73*D3))</f>
        <v>420</v>
      </c>
    </row>
    <row r="118" spans="1:27" ht="12.75">
      <c r="A118" s="81"/>
      <c r="B118" s="44"/>
      <c r="C118" s="44"/>
      <c r="D118" s="82" t="s">
        <v>146</v>
      </c>
      <c r="E118" s="44"/>
      <c r="F118" s="44"/>
      <c r="G118" s="44"/>
      <c r="H118" s="83"/>
      <c r="I118" s="6"/>
      <c r="J118" s="6"/>
      <c r="K118" s="6"/>
      <c r="L118" s="6"/>
      <c r="AA118" s="7">
        <f>H74/D3</f>
        <v>275</v>
      </c>
    </row>
    <row r="119" spans="1:27" ht="12.75">
      <c r="A119" s="84"/>
      <c r="B119" s="44"/>
      <c r="C119" s="44"/>
      <c r="D119" s="44"/>
      <c r="E119" s="44"/>
      <c r="F119" s="44"/>
      <c r="G119" s="44"/>
      <c r="H119" s="83"/>
      <c r="I119" s="6"/>
      <c r="J119" s="6"/>
      <c r="K119" s="6"/>
      <c r="L119" s="6"/>
      <c r="AA119" s="7">
        <f>D74*D3</f>
        <v>5500</v>
      </c>
    </row>
    <row r="120" spans="1:27" ht="12.75">
      <c r="A120" s="85"/>
      <c r="B120" s="44"/>
      <c r="C120" s="44"/>
      <c r="D120" s="85" t="s">
        <v>141</v>
      </c>
      <c r="E120" s="86"/>
      <c r="F120" s="86"/>
      <c r="G120" s="44"/>
      <c r="H120" s="83"/>
      <c r="I120" s="6"/>
      <c r="J120" s="6"/>
      <c r="K120" s="6"/>
      <c r="L120" s="6"/>
      <c r="AA120" s="7" t="str">
        <f>D75</f>
        <v>-</v>
      </c>
    </row>
    <row r="121" spans="1:27" ht="12.75">
      <c r="A121" s="87"/>
      <c r="B121" s="44"/>
      <c r="C121" s="44"/>
      <c r="D121" s="85" t="s">
        <v>142</v>
      </c>
      <c r="E121" s="86"/>
      <c r="F121" s="86"/>
      <c r="G121" s="44"/>
      <c r="H121" s="83"/>
      <c r="I121" s="6"/>
      <c r="J121" s="6"/>
      <c r="K121" s="6"/>
      <c r="L121" s="6"/>
      <c r="AA121" s="7">
        <f>G75*D3</f>
        <v>0</v>
      </c>
    </row>
    <row r="122" spans="1:27" ht="12.75">
      <c r="A122" s="84"/>
      <c r="B122" s="44"/>
      <c r="C122" s="44"/>
      <c r="D122" s="88" t="s">
        <v>143</v>
      </c>
      <c r="E122" s="86"/>
      <c r="F122" s="86"/>
      <c r="G122" s="44"/>
      <c r="H122" s="83"/>
      <c r="I122" s="6"/>
      <c r="J122" s="6"/>
      <c r="K122" s="6"/>
      <c r="L122" s="6"/>
      <c r="AA122" s="7">
        <f>IF(K65=0,0,HLOOKUP(A1,(K21),11,FALSE)*(K65)*0.01)</f>
        <v>0</v>
      </c>
    </row>
    <row r="123" spans="1:27" ht="12.75">
      <c r="A123" s="84"/>
      <c r="B123" s="44"/>
      <c r="C123" s="44"/>
      <c r="D123" s="89" t="s">
        <v>144</v>
      </c>
      <c r="E123" s="86"/>
      <c r="F123" s="86"/>
      <c r="G123" s="44"/>
      <c r="H123" s="83"/>
      <c r="I123" s="6"/>
      <c r="J123" s="6"/>
      <c r="K123" s="6"/>
      <c r="L123" s="6"/>
      <c r="AA123" s="7">
        <f>H76/D3</f>
        <v>0</v>
      </c>
    </row>
    <row r="124" spans="1:27" ht="12.75">
      <c r="A124" s="90"/>
      <c r="B124" s="91"/>
      <c r="C124" s="91"/>
      <c r="D124" s="91"/>
      <c r="E124" s="92"/>
      <c r="F124" s="92"/>
      <c r="G124" s="93"/>
      <c r="H124" s="94"/>
      <c r="I124" s="6"/>
      <c r="J124" s="6"/>
      <c r="K124" s="6"/>
      <c r="L124" s="6"/>
      <c r="AA124" s="7">
        <f>IF(E76=0,D76*D3,IF((K65)&gt;0,E76,D76*D3))</f>
        <v>0</v>
      </c>
    </row>
    <row r="125" spans="1:27" ht="12.75">
      <c r="A125" s="44"/>
      <c r="B125" s="44"/>
      <c r="C125" s="44"/>
      <c r="D125" s="44"/>
      <c r="E125" s="44"/>
      <c r="F125" s="44"/>
      <c r="G125" s="44"/>
      <c r="H125" s="44"/>
      <c r="I125" s="6"/>
      <c r="J125" s="6"/>
      <c r="K125" s="6"/>
      <c r="L125" s="6"/>
      <c r="AA125" s="7">
        <f>IF(K66=0,0,HLOOKUP(A1,(K21),12,FALSE)*(K66)*0.01)</f>
        <v>0</v>
      </c>
    </row>
    <row r="126" spans="1:27" ht="12.75">
      <c r="A126" s="44"/>
      <c r="B126" s="44"/>
      <c r="C126" s="44"/>
      <c r="D126" s="44"/>
      <c r="E126" s="44"/>
      <c r="F126" s="44"/>
      <c r="G126" s="44"/>
      <c r="H126" s="44"/>
      <c r="I126" s="6"/>
      <c r="J126" s="6"/>
      <c r="K126" s="6"/>
      <c r="L126" s="6"/>
      <c r="AA126" s="7">
        <f>H77/D3</f>
        <v>6</v>
      </c>
    </row>
    <row r="127" spans="1:27" ht="12.75">
      <c r="A127" s="44"/>
      <c r="B127" s="44"/>
      <c r="C127" s="44"/>
      <c r="D127" s="44"/>
      <c r="E127" s="44"/>
      <c r="F127" s="44"/>
      <c r="G127" s="44"/>
      <c r="H127" s="44"/>
      <c r="I127" s="6"/>
      <c r="J127" s="6"/>
      <c r="K127" s="6"/>
      <c r="L127" s="6"/>
      <c r="AA127" s="7">
        <f>IF(E77=0,D77*D3,IF((K66)&gt;0,E77,D77*D3))</f>
        <v>120</v>
      </c>
    </row>
    <row r="128" spans="1:27" ht="12.75">
      <c r="A128" s="44"/>
      <c r="B128" s="44"/>
      <c r="C128" s="44"/>
      <c r="D128" s="44"/>
      <c r="E128" s="44"/>
      <c r="F128" s="44"/>
      <c r="G128" s="44"/>
      <c r="H128" s="44"/>
      <c r="I128" s="6"/>
      <c r="J128" s="6"/>
      <c r="K128" s="6"/>
      <c r="L128" s="6"/>
      <c r="AA128" s="7">
        <f>H79/D3</f>
        <v>337</v>
      </c>
    </row>
    <row r="129" spans="1:27" ht="12.75">
      <c r="A129" s="44"/>
      <c r="B129" s="44"/>
      <c r="C129" s="44"/>
      <c r="D129" s="44"/>
      <c r="E129" s="44"/>
      <c r="F129" s="44"/>
      <c r="G129" s="44"/>
      <c r="H129" s="44"/>
      <c r="I129" s="6"/>
      <c r="J129" s="6"/>
      <c r="K129" s="6"/>
      <c r="L129" s="6"/>
      <c r="AA129" s="8">
        <f>SUM(H72:H77)</f>
        <v>6740</v>
      </c>
    </row>
    <row r="130" spans="1:27" ht="12.75">
      <c r="A130" s="44"/>
      <c r="B130" s="44"/>
      <c r="C130" s="44"/>
      <c r="D130" s="44"/>
      <c r="E130" s="44"/>
      <c r="F130" s="44"/>
      <c r="G130" s="44"/>
      <c r="H130" s="44"/>
      <c r="I130" s="6"/>
      <c r="J130" s="6"/>
      <c r="K130" s="6"/>
      <c r="L130" s="6"/>
      <c r="AA130" s="7">
        <f>E7*E8</f>
        <v>1800</v>
      </c>
    </row>
    <row r="131" spans="1:27" ht="12.75">
      <c r="A131" s="44"/>
      <c r="B131" s="44"/>
      <c r="C131" s="44"/>
      <c r="D131" s="44"/>
      <c r="E131" s="44"/>
      <c r="F131" s="44"/>
      <c r="G131" s="44"/>
      <c r="H131" s="44"/>
      <c r="I131" s="6"/>
      <c r="J131" s="6"/>
      <c r="K131" s="6"/>
      <c r="L131" s="6"/>
      <c r="AA131" s="7">
        <f>E82*D3</f>
        <v>36000</v>
      </c>
    </row>
    <row r="132" spans="1:27" ht="12.75">
      <c r="A132" s="44"/>
      <c r="B132" s="44"/>
      <c r="C132" s="44"/>
      <c r="D132" s="44"/>
      <c r="E132" s="44"/>
      <c r="F132" s="44"/>
      <c r="G132" s="44"/>
      <c r="H132" s="44"/>
      <c r="I132" s="6"/>
      <c r="J132" s="6"/>
      <c r="K132" s="6"/>
      <c r="L132" s="6"/>
      <c r="AA132" s="7">
        <f>IF(E39=1,D16,0)</f>
        <v>29.997693324668447</v>
      </c>
    </row>
    <row r="133" spans="1:27" ht="12.75">
      <c r="A133" s="44"/>
      <c r="B133" s="44"/>
      <c r="C133" s="44"/>
      <c r="D133" s="44"/>
      <c r="E133" s="44"/>
      <c r="F133" s="44"/>
      <c r="G133" s="44"/>
      <c r="H133" s="44"/>
      <c r="I133" s="6"/>
      <c r="J133" s="6"/>
      <c r="K133" s="6"/>
      <c r="L133" s="6"/>
      <c r="AA133" s="7">
        <f>E83*D3</f>
        <v>0</v>
      </c>
    </row>
    <row r="134" spans="1:27" ht="12.75">
      <c r="A134" s="44"/>
      <c r="B134" s="44"/>
      <c r="C134" s="44"/>
      <c r="D134" s="44"/>
      <c r="E134" s="44"/>
      <c r="F134" s="44"/>
      <c r="G134" s="44"/>
      <c r="H134" s="44"/>
      <c r="I134" s="6"/>
      <c r="J134" s="6"/>
      <c r="K134" s="6"/>
      <c r="L134" s="6"/>
      <c r="AA134" s="7">
        <f>F84/D3</f>
        <v>1271.24398625</v>
      </c>
    </row>
    <row r="135" spans="1:27" ht="12.75">
      <c r="A135" s="44"/>
      <c r="B135" s="44"/>
      <c r="C135" s="44"/>
      <c r="D135" s="44"/>
      <c r="E135" s="44"/>
      <c r="F135" s="44"/>
      <c r="G135" s="44"/>
      <c r="H135" s="44"/>
      <c r="I135" s="6"/>
      <c r="J135" s="6"/>
      <c r="K135" s="6"/>
      <c r="L135" s="6"/>
      <c r="AA135" s="8">
        <f>H69</f>
        <v>25424.879725</v>
      </c>
    </row>
    <row r="136" spans="1:27" ht="12.75">
      <c r="A136" s="44"/>
      <c r="B136" s="44"/>
      <c r="C136" s="44"/>
      <c r="D136" s="44"/>
      <c r="E136" s="44"/>
      <c r="F136" s="44"/>
      <c r="G136" s="44"/>
      <c r="H136" s="44"/>
      <c r="I136" s="6"/>
      <c r="J136" s="6"/>
      <c r="K136" s="6"/>
      <c r="L136" s="6"/>
      <c r="AA136" s="7">
        <f>F86/D3</f>
        <v>528.7560137500001</v>
      </c>
    </row>
    <row r="137" spans="1:27" ht="12.75">
      <c r="A137" s="44"/>
      <c r="B137" s="44"/>
      <c r="C137" s="44"/>
      <c r="D137" s="44"/>
      <c r="E137" s="44"/>
      <c r="F137" s="44"/>
      <c r="G137" s="44"/>
      <c r="H137" s="44"/>
      <c r="I137" s="6"/>
      <c r="J137" s="6"/>
      <c r="K137" s="6"/>
      <c r="L137" s="6"/>
      <c r="AA137" s="8">
        <f>SUM(F82:F83)-F84</f>
        <v>10575.120275000001</v>
      </c>
    </row>
    <row r="138" spans="1:27" ht="12.75">
      <c r="A138" s="44"/>
      <c r="B138" s="44"/>
      <c r="C138" s="44"/>
      <c r="D138" s="44"/>
      <c r="E138" s="44"/>
      <c r="F138" s="44"/>
      <c r="G138" s="44"/>
      <c r="H138" s="44"/>
      <c r="I138" s="6"/>
      <c r="J138" s="6"/>
      <c r="K138" s="6"/>
      <c r="L138" s="6"/>
      <c r="AA138" s="7">
        <f>F87/D3</f>
        <v>337</v>
      </c>
    </row>
    <row r="139" spans="1:27" ht="12.75">
      <c r="A139" s="44"/>
      <c r="B139" s="44"/>
      <c r="C139" s="44"/>
      <c r="D139" s="44"/>
      <c r="E139" s="44"/>
      <c r="F139" s="44"/>
      <c r="G139" s="44"/>
      <c r="H139" s="44"/>
      <c r="I139" s="6"/>
      <c r="J139" s="6"/>
      <c r="K139" s="6"/>
      <c r="L139" s="6"/>
      <c r="AA139" s="8">
        <f>H79</f>
        <v>6740</v>
      </c>
    </row>
    <row r="140" spans="1:27" ht="12.75">
      <c r="A140" s="44"/>
      <c r="B140" s="44"/>
      <c r="C140" s="44"/>
      <c r="D140" s="44"/>
      <c r="E140" s="44"/>
      <c r="F140" s="44"/>
      <c r="G140" s="44"/>
      <c r="H140" s="44"/>
      <c r="I140" s="6"/>
      <c r="J140" s="6"/>
      <c r="K140" s="6"/>
      <c r="L140" s="6"/>
      <c r="AA140" s="7">
        <f>F89/D3</f>
        <v>191.75601375000005</v>
      </c>
    </row>
    <row r="141" spans="1:27" ht="12.75">
      <c r="A141" s="44"/>
      <c r="B141" s="44"/>
      <c r="C141" s="44"/>
      <c r="D141" s="44"/>
      <c r="E141" s="44"/>
      <c r="F141" s="44"/>
      <c r="G141" s="44"/>
      <c r="H141" s="44"/>
      <c r="I141" s="6"/>
      <c r="J141" s="6"/>
      <c r="K141" s="6"/>
      <c r="L141" s="6"/>
      <c r="AA141" s="8">
        <f>F86-F87</f>
        <v>3835.120275000001</v>
      </c>
    </row>
    <row r="142" spans="1:27" ht="12.75">
      <c r="A142" s="44"/>
      <c r="B142" s="44"/>
      <c r="C142" s="44"/>
      <c r="D142" s="44"/>
      <c r="E142" s="44"/>
      <c r="F142" s="44"/>
      <c r="G142" s="44"/>
      <c r="H142" s="44"/>
      <c r="I142" s="6"/>
      <c r="J142" s="6"/>
      <c r="K142" s="6"/>
      <c r="L142" s="6"/>
      <c r="AA142" s="7">
        <f>E84/E7</f>
        <v>1.27124398625</v>
      </c>
    </row>
    <row r="143" spans="1:27" ht="12.75">
      <c r="A143" s="44"/>
      <c r="B143" s="44"/>
      <c r="C143" s="44"/>
      <c r="D143" s="44"/>
      <c r="E143" s="44"/>
      <c r="F143" s="44"/>
      <c r="G143" s="44"/>
      <c r="H143" s="44"/>
      <c r="I143" s="6"/>
      <c r="J143" s="6"/>
      <c r="K143" s="6"/>
      <c r="L143" s="6"/>
      <c r="AA143" s="7">
        <f>E87/E7</f>
        <v>0.337</v>
      </c>
    </row>
    <row r="144" spans="1:27" ht="12.75">
      <c r="A144" s="44"/>
      <c r="B144" s="44"/>
      <c r="C144" s="44"/>
      <c r="D144" s="44"/>
      <c r="E144" s="44"/>
      <c r="F144" s="44"/>
      <c r="G144" s="44"/>
      <c r="H144" s="44"/>
      <c r="I144" s="6"/>
      <c r="J144" s="6"/>
      <c r="K144" s="6"/>
      <c r="L144" s="6"/>
      <c r="AA144" s="35">
        <f>G91+G92</f>
        <v>1.60824398625</v>
      </c>
    </row>
    <row r="145" spans="1:27" ht="12.75">
      <c r="A145" s="44"/>
      <c r="B145" s="44"/>
      <c r="C145" s="44"/>
      <c r="D145" s="44"/>
      <c r="E145" s="44"/>
      <c r="F145" s="44"/>
      <c r="G145" s="44"/>
      <c r="H145" s="44"/>
      <c r="I145" s="6"/>
      <c r="J145" s="6"/>
      <c r="K145" s="6"/>
      <c r="L145" s="6"/>
      <c r="AA145" s="7">
        <f>IF(I89&gt;0,1-I97,I97)</f>
        <v>0.6201397999528395</v>
      </c>
    </row>
    <row r="146" spans="1:27" ht="12.75">
      <c r="A146" s="44"/>
      <c r="B146" s="44"/>
      <c r="C146" s="44"/>
      <c r="D146" s="44"/>
      <c r="E146" s="44"/>
      <c r="F146" s="44"/>
      <c r="G146" s="44"/>
      <c r="H146" s="44"/>
      <c r="I146" s="6"/>
      <c r="J146" s="6"/>
      <c r="K146" s="6"/>
      <c r="L146" s="6"/>
      <c r="AA146" s="7">
        <f>IF(I89-D97&gt;0,1-J97,J97)</f>
        <v>0.6201397999528395</v>
      </c>
    </row>
    <row r="147" spans="1:27" ht="12.75">
      <c r="A147" s="44"/>
      <c r="B147" s="44"/>
      <c r="C147" s="44"/>
      <c r="D147" s="44"/>
      <c r="E147" s="44"/>
      <c r="F147" s="44"/>
      <c r="G147" s="44"/>
      <c r="H147" s="44"/>
      <c r="I147" s="6"/>
      <c r="J147" s="6"/>
      <c r="K147" s="6"/>
      <c r="L147" s="6"/>
      <c r="AA147" s="7">
        <f>I92/E82</f>
        <v>0.3483137651925491</v>
      </c>
    </row>
    <row r="148" spans="1:27" ht="12.75">
      <c r="A148" s="44"/>
      <c r="B148" s="44"/>
      <c r="C148" s="44"/>
      <c r="D148" s="44"/>
      <c r="E148" s="44"/>
      <c r="F148" s="44"/>
      <c r="G148" s="44"/>
      <c r="H148" s="44"/>
      <c r="I148" s="6"/>
      <c r="J148" s="6"/>
      <c r="K148" s="6"/>
      <c r="L148" s="6"/>
      <c r="AA148" s="8">
        <f>E89</f>
        <v>191.75601375000005</v>
      </c>
    </row>
    <row r="149" spans="1:27" ht="12.75">
      <c r="A149" s="44"/>
      <c r="B149" s="44"/>
      <c r="C149" s="44"/>
      <c r="D149" s="44"/>
      <c r="E149" s="44"/>
      <c r="F149" s="44"/>
      <c r="G149" s="44"/>
      <c r="H149" s="44"/>
      <c r="I149" s="6"/>
      <c r="J149" s="6"/>
      <c r="K149" s="6"/>
      <c r="L149" s="6"/>
      <c r="AA149" s="7">
        <f>IF(E39=1,0.19465*E7+0.66805*((C7-G7)/2)-0.20342*D13,(C7-G7)/2)</f>
        <v>328.097264</v>
      </c>
    </row>
    <row r="150" spans="1:27" ht="12.75">
      <c r="A150" s="44"/>
      <c r="B150" s="44"/>
      <c r="C150" s="44"/>
      <c r="D150" s="44"/>
      <c r="E150" s="44"/>
      <c r="F150" s="44"/>
      <c r="G150" s="44"/>
      <c r="H150" s="44"/>
      <c r="I150" s="6"/>
      <c r="J150" s="6"/>
      <c r="K150" s="6"/>
      <c r="L150" s="6"/>
      <c r="AA150" s="7">
        <f>(C8-G8)/2</f>
        <v>0.19999999999999996</v>
      </c>
    </row>
    <row r="151" spans="1:27" ht="12.75">
      <c r="A151" s="44"/>
      <c r="B151" s="44"/>
      <c r="C151" s="44"/>
      <c r="D151" s="44"/>
      <c r="E151" s="44"/>
      <c r="F151" s="44"/>
      <c r="G151" s="44"/>
      <c r="H151" s="44"/>
      <c r="I151" s="6"/>
      <c r="J151" s="6"/>
      <c r="K151" s="6"/>
      <c r="L151" s="6"/>
      <c r="AA151" s="7">
        <f>SQRT((E7*I91)^2+(E8*I90)^2+(I90*I91)^2)</f>
        <v>626.9647773465883</v>
      </c>
    </row>
    <row r="152" spans="1:27" ht="12.75">
      <c r="A152" s="44"/>
      <c r="B152" s="44"/>
      <c r="C152" s="44"/>
      <c r="D152" s="44"/>
      <c r="E152" s="44"/>
      <c r="F152" s="44"/>
      <c r="G152" s="44"/>
      <c r="H152" s="44"/>
      <c r="I152" s="6"/>
      <c r="J152" s="6"/>
      <c r="K152" s="6"/>
      <c r="L152" s="6"/>
      <c r="AA152" s="7">
        <f>I89+0.97*I92</f>
        <v>799.9118477761907</v>
      </c>
    </row>
    <row r="153" spans="1:27" ht="12.75">
      <c r="A153" s="44"/>
      <c r="B153" s="44"/>
      <c r="C153" s="44"/>
      <c r="D153" s="44"/>
      <c r="E153" s="44"/>
      <c r="F153" s="44"/>
      <c r="G153" s="44"/>
      <c r="H153" s="44"/>
      <c r="I153" s="6"/>
      <c r="J153" s="6"/>
      <c r="K153" s="6"/>
      <c r="L153" s="6"/>
      <c r="AA153" s="7">
        <f>I89+0.43*I92</f>
        <v>461.350868009033</v>
      </c>
    </row>
    <row r="154" spans="1:27" ht="12.75">
      <c r="A154" s="44"/>
      <c r="B154" s="44"/>
      <c r="C154" s="44"/>
      <c r="D154" s="44"/>
      <c r="E154" s="44"/>
      <c r="F154" s="44"/>
      <c r="G154" s="44"/>
      <c r="H154" s="44"/>
      <c r="I154" s="6"/>
      <c r="J154" s="6"/>
      <c r="K154" s="6"/>
      <c r="L154" s="6"/>
      <c r="AA154" s="7">
        <f>ABS(I89/I92)</f>
        <v>0.3058481443910471</v>
      </c>
    </row>
    <row r="155" spans="1:27" ht="12.75">
      <c r="A155" s="44"/>
      <c r="B155" s="44"/>
      <c r="C155" s="44"/>
      <c r="D155" s="44"/>
      <c r="E155" s="44"/>
      <c r="F155" s="44"/>
      <c r="G155" s="44"/>
      <c r="H155" s="44"/>
      <c r="I155" s="6"/>
      <c r="J155" s="6"/>
      <c r="K155" s="6"/>
      <c r="L155" s="6"/>
      <c r="AA155" s="7">
        <f>ABS((I89-D97)/I92)</f>
        <v>0.3058481443910471</v>
      </c>
    </row>
    <row r="156" spans="1:27" ht="12.75">
      <c r="A156" s="44"/>
      <c r="B156" s="44"/>
      <c r="C156" s="44"/>
      <c r="D156" s="44"/>
      <c r="E156" s="44"/>
      <c r="F156" s="44"/>
      <c r="G156" s="44"/>
      <c r="H156" s="44"/>
      <c r="I156" s="6"/>
      <c r="J156" s="6"/>
      <c r="K156" s="6"/>
      <c r="L156" s="6"/>
      <c r="AA156" s="39">
        <f>I89</f>
        <v>191.75601375000005</v>
      </c>
    </row>
    <row r="157" spans="1:27" ht="12.75">
      <c r="A157" s="44"/>
      <c r="B157" s="44"/>
      <c r="C157" s="44"/>
      <c r="D157" s="44"/>
      <c r="E157" s="44"/>
      <c r="F157" s="44"/>
      <c r="G157" s="44"/>
      <c r="H157" s="44"/>
      <c r="I157" s="6"/>
      <c r="J157" s="6"/>
      <c r="K157" s="6"/>
      <c r="L157" s="6"/>
      <c r="AA157" s="7">
        <f>1/(1+(0.2316419*I94))</f>
        <v>0.9338400079090555</v>
      </c>
    </row>
    <row r="158" spans="1:27" ht="12.75">
      <c r="A158" s="44"/>
      <c r="B158" s="44"/>
      <c r="C158" s="44"/>
      <c r="D158" s="44"/>
      <c r="E158" s="44"/>
      <c r="F158" s="44"/>
      <c r="G158" s="44"/>
      <c r="H158" s="44"/>
      <c r="I158" s="6"/>
      <c r="J158" s="6"/>
      <c r="K158" s="6"/>
      <c r="L158" s="6"/>
      <c r="AA158" s="7">
        <f>1/(1+(0.2316419*J94))</f>
        <v>0.9338400079090555</v>
      </c>
    </row>
    <row r="159" spans="1:27" ht="12.75">
      <c r="A159" s="44"/>
      <c r="B159" s="44"/>
      <c r="C159" s="44"/>
      <c r="D159" s="44"/>
      <c r="E159" s="44"/>
      <c r="F159" s="44"/>
      <c r="G159" s="44"/>
      <c r="H159" s="44"/>
      <c r="I159" s="6"/>
      <c r="J159" s="6"/>
      <c r="K159" s="6"/>
      <c r="L159" s="6"/>
      <c r="AA159" s="7">
        <f>I89-0.43*I92</f>
        <v>-77.8388405090329</v>
      </c>
    </row>
    <row r="160" spans="1:27" ht="12.75">
      <c r="A160" s="44"/>
      <c r="B160" s="44"/>
      <c r="C160" s="44"/>
      <c r="D160" s="44"/>
      <c r="E160" s="44"/>
      <c r="F160" s="44"/>
      <c r="G160" s="44"/>
      <c r="H160" s="44"/>
      <c r="I160" s="6"/>
      <c r="J160" s="6"/>
      <c r="K160" s="6"/>
      <c r="L160" s="6"/>
      <c r="AA160" s="7">
        <f>0.398942281*EXP(I94^2/-2)</f>
        <v>0.38071276895901485</v>
      </c>
    </row>
    <row r="161" spans="1:27" ht="12.75">
      <c r="A161" s="44"/>
      <c r="B161" s="44"/>
      <c r="C161" s="44"/>
      <c r="D161" s="44"/>
      <c r="E161" s="44"/>
      <c r="F161" s="44"/>
      <c r="G161" s="44"/>
      <c r="H161" s="44"/>
      <c r="I161" s="6"/>
      <c r="J161" s="6"/>
      <c r="K161" s="6"/>
      <c r="L161" s="6"/>
      <c r="AA161" s="7">
        <f>0.398942281*EXP(J94^2/-2)</f>
        <v>0.38071276895901485</v>
      </c>
    </row>
    <row r="162" spans="1:27" ht="12.75">
      <c r="A162" s="44"/>
      <c r="B162" s="44"/>
      <c r="C162" s="44"/>
      <c r="D162" s="44"/>
      <c r="E162" s="44"/>
      <c r="F162" s="44"/>
      <c r="G162" s="44"/>
      <c r="H162" s="44"/>
      <c r="I162" s="6"/>
      <c r="J162" s="6"/>
      <c r="K162" s="6"/>
      <c r="L162" s="6"/>
      <c r="AA162" s="7">
        <f>I89-0.97*I92</f>
        <v>-416.39982027619055</v>
      </c>
    </row>
    <row r="163" spans="1:27" ht="12.75">
      <c r="A163" s="44"/>
      <c r="B163" s="44"/>
      <c r="C163" s="44"/>
      <c r="D163" s="44"/>
      <c r="E163" s="44"/>
      <c r="F163" s="44"/>
      <c r="G163" s="44"/>
      <c r="H163" s="44"/>
      <c r="I163" s="6"/>
      <c r="J163" s="6"/>
      <c r="K163" s="6"/>
      <c r="L163" s="6"/>
      <c r="AA163" s="7">
        <f>I96*(0.31938153*I95-0.356563782*I95^2+1.781477937*I95^3-1.821255978*I95^4+1.330274429*I95^5)</f>
        <v>0.3798602000471604</v>
      </c>
    </row>
    <row r="164" spans="1:27" ht="12.75">
      <c r="A164" s="44"/>
      <c r="B164" s="44"/>
      <c r="C164" s="44"/>
      <c r="D164" s="44"/>
      <c r="E164" s="44"/>
      <c r="F164" s="44"/>
      <c r="G164" s="44"/>
      <c r="H164" s="44"/>
      <c r="I164" s="6"/>
      <c r="J164" s="6"/>
      <c r="K164" s="6"/>
      <c r="L164" s="6"/>
      <c r="AA164" s="7">
        <f>J96*(0.31938153*J95-0.356563782*J95^2+1.781477937*J95^3-1.821255978*J95^4+1.330274429*J95^5)</f>
        <v>0.3798602000471604</v>
      </c>
    </row>
    <row r="165" spans="1:12" ht="12.75">
      <c r="A165" s="44"/>
      <c r="B165" s="44"/>
      <c r="C165" s="44"/>
      <c r="D165" s="44"/>
      <c r="E165" s="44"/>
      <c r="F165" s="44"/>
      <c r="G165" s="44"/>
      <c r="H165" s="44"/>
      <c r="I165" s="6"/>
      <c r="J165" s="6"/>
      <c r="K165" s="6"/>
      <c r="L165" s="6"/>
    </row>
    <row r="166" spans="1:12" ht="12.75">
      <c r="A166" s="44"/>
      <c r="B166" s="44"/>
      <c r="C166" s="44"/>
      <c r="D166" s="44"/>
      <c r="E166" s="44"/>
      <c r="F166" s="44"/>
      <c r="G166" s="44"/>
      <c r="H166" s="44"/>
      <c r="I166" s="6"/>
      <c r="J166" s="6"/>
      <c r="K166" s="6"/>
      <c r="L166" s="6"/>
    </row>
    <row r="167" spans="1:12" ht="12.75">
      <c r="A167" s="44"/>
      <c r="B167" s="44"/>
      <c r="C167" s="44"/>
      <c r="D167" s="44"/>
      <c r="E167" s="44"/>
      <c r="F167" s="44"/>
      <c r="G167" s="44"/>
      <c r="H167" s="44"/>
      <c r="I167" s="6"/>
      <c r="J167" s="6"/>
      <c r="K167" s="6"/>
      <c r="L167" s="6"/>
    </row>
    <row r="168" spans="1:12" ht="12.75">
      <c r="A168" s="44"/>
      <c r="B168" s="44"/>
      <c r="C168" s="44"/>
      <c r="D168" s="44"/>
      <c r="E168" s="44"/>
      <c r="F168" s="44"/>
      <c r="G168" s="44"/>
      <c r="H168" s="44"/>
      <c r="I168" s="6"/>
      <c r="J168" s="6"/>
      <c r="K168" s="6"/>
      <c r="L168" s="6"/>
    </row>
    <row r="169" spans="1:12" ht="12.75">
      <c r="A169" s="44"/>
      <c r="B169" s="44"/>
      <c r="C169" s="44"/>
      <c r="D169" s="44"/>
      <c r="E169" s="44"/>
      <c r="F169" s="44"/>
      <c r="G169" s="44"/>
      <c r="H169" s="44"/>
      <c r="I169" s="6"/>
      <c r="J169" s="6"/>
      <c r="K169" s="6"/>
      <c r="L169" s="6"/>
    </row>
    <row r="170" spans="1:12" ht="12.75">
      <c r="A170" s="44"/>
      <c r="B170" s="44"/>
      <c r="C170" s="44"/>
      <c r="D170" s="44"/>
      <c r="E170" s="44"/>
      <c r="F170" s="44"/>
      <c r="G170" s="44"/>
      <c r="H170" s="44"/>
      <c r="I170" s="6"/>
      <c r="J170" s="6"/>
      <c r="K170" s="6"/>
      <c r="L170" s="6"/>
    </row>
    <row r="171" spans="1:12" ht="12.75">
      <c r="A171" s="44"/>
      <c r="B171" s="44"/>
      <c r="C171" s="44"/>
      <c r="D171" s="44"/>
      <c r="E171" s="44"/>
      <c r="F171" s="44"/>
      <c r="G171" s="44"/>
      <c r="H171" s="44"/>
      <c r="I171" s="6"/>
      <c r="J171" s="6"/>
      <c r="K171" s="6"/>
      <c r="L171" s="6"/>
    </row>
    <row r="172" spans="1:12" ht="12.75">
      <c r="A172" s="44"/>
      <c r="B172" s="44"/>
      <c r="C172" s="44"/>
      <c r="D172" s="44"/>
      <c r="E172" s="44"/>
      <c r="F172" s="44"/>
      <c r="G172" s="44"/>
      <c r="H172" s="44"/>
      <c r="I172" s="6"/>
      <c r="J172" s="6"/>
      <c r="K172" s="6"/>
      <c r="L172" s="6"/>
    </row>
    <row r="173" spans="1:12" ht="12.75">
      <c r="A173" s="44"/>
      <c r="B173" s="44"/>
      <c r="C173" s="44"/>
      <c r="D173" s="44"/>
      <c r="E173" s="44"/>
      <c r="F173" s="44"/>
      <c r="G173" s="44"/>
      <c r="H173" s="44"/>
      <c r="I173" s="6"/>
      <c r="J173" s="6"/>
      <c r="K173" s="6"/>
      <c r="L173" s="6"/>
    </row>
    <row r="174" spans="1:12" ht="12.75">
      <c r="A174" s="44"/>
      <c r="B174" s="44"/>
      <c r="C174" s="44"/>
      <c r="D174" s="44"/>
      <c r="E174" s="44"/>
      <c r="F174" s="44"/>
      <c r="G174" s="44"/>
      <c r="H174" s="44"/>
      <c r="I174" s="6"/>
      <c r="J174" s="6"/>
      <c r="K174" s="6"/>
      <c r="L174" s="6"/>
    </row>
    <row r="175" spans="1:12" ht="12.75">
      <c r="A175" s="44"/>
      <c r="B175" s="44"/>
      <c r="C175" s="44"/>
      <c r="D175" s="44"/>
      <c r="E175" s="44"/>
      <c r="F175" s="44"/>
      <c r="G175" s="44"/>
      <c r="H175" s="44"/>
      <c r="I175" s="6"/>
      <c r="J175" s="6"/>
      <c r="K175" s="6"/>
      <c r="L175" s="6"/>
    </row>
    <row r="176" spans="1:12" ht="12.75">
      <c r="A176" s="44"/>
      <c r="B176" s="44"/>
      <c r="C176" s="44"/>
      <c r="D176" s="44"/>
      <c r="E176" s="44"/>
      <c r="F176" s="44"/>
      <c r="G176" s="44"/>
      <c r="H176" s="44"/>
      <c r="I176" s="6"/>
      <c r="J176" s="6"/>
      <c r="K176" s="6"/>
      <c r="L176" s="6"/>
    </row>
    <row r="177" spans="1:12" ht="12.75">
      <c r="A177" s="44"/>
      <c r="B177" s="44"/>
      <c r="C177" s="44"/>
      <c r="D177" s="44"/>
      <c r="E177" s="44"/>
      <c r="F177" s="44"/>
      <c r="G177" s="44"/>
      <c r="H177" s="44"/>
      <c r="I177" s="6"/>
      <c r="J177" s="6"/>
      <c r="K177" s="6"/>
      <c r="L177" s="6"/>
    </row>
    <row r="178" spans="1:12" ht="12.75">
      <c r="A178" s="44"/>
      <c r="B178" s="44"/>
      <c r="C178" s="44"/>
      <c r="D178" s="44"/>
      <c r="E178" s="44"/>
      <c r="F178" s="44"/>
      <c r="G178" s="44"/>
      <c r="H178" s="44"/>
      <c r="I178" s="6"/>
      <c r="J178" s="6"/>
      <c r="K178" s="6"/>
      <c r="L178" s="6"/>
    </row>
    <row r="179" spans="1:12" ht="12.75">
      <c r="A179" s="44"/>
      <c r="B179" s="44"/>
      <c r="C179" s="44"/>
      <c r="D179" s="44"/>
      <c r="E179" s="44"/>
      <c r="F179" s="44"/>
      <c r="G179" s="44"/>
      <c r="H179" s="44"/>
      <c r="I179" s="6"/>
      <c r="J179" s="6"/>
      <c r="K179" s="6"/>
      <c r="L179" s="6"/>
    </row>
    <row r="180" spans="1:12" ht="12.75">
      <c r="A180" s="44"/>
      <c r="B180" s="44"/>
      <c r="C180" s="44"/>
      <c r="D180" s="44"/>
      <c r="E180" s="44"/>
      <c r="F180" s="44"/>
      <c r="G180" s="44"/>
      <c r="H180" s="44"/>
      <c r="I180" s="6"/>
      <c r="J180" s="6"/>
      <c r="K180" s="6"/>
      <c r="L180" s="6"/>
    </row>
    <row r="181" spans="1:12" ht="12.75">
      <c r="A181" s="44"/>
      <c r="B181" s="44"/>
      <c r="C181" s="44"/>
      <c r="D181" s="44"/>
      <c r="E181" s="44"/>
      <c r="F181" s="44"/>
      <c r="G181" s="44"/>
      <c r="H181" s="44"/>
      <c r="I181" s="6"/>
      <c r="J181" s="6"/>
      <c r="K181" s="6"/>
      <c r="L181" s="6"/>
    </row>
    <row r="182" spans="1:12" ht="12.75">
      <c r="A182" s="44"/>
      <c r="B182" s="44"/>
      <c r="C182" s="44"/>
      <c r="D182" s="44"/>
      <c r="E182" s="44"/>
      <c r="F182" s="44"/>
      <c r="G182" s="44"/>
      <c r="H182" s="44"/>
      <c r="I182" s="6"/>
      <c r="J182" s="6"/>
      <c r="K182" s="6"/>
      <c r="L182" s="6"/>
    </row>
    <row r="183" spans="1:12" ht="12.75">
      <c r="A183" s="44"/>
      <c r="B183" s="44"/>
      <c r="C183" s="44"/>
      <c r="D183" s="44"/>
      <c r="E183" s="44"/>
      <c r="F183" s="44"/>
      <c r="G183" s="44"/>
      <c r="H183" s="44"/>
      <c r="I183" s="6"/>
      <c r="J183" s="6"/>
      <c r="K183" s="6"/>
      <c r="L183" s="6"/>
    </row>
    <row r="184" spans="1:12" ht="12.75">
      <c r="A184" s="44"/>
      <c r="B184" s="44"/>
      <c r="C184" s="44"/>
      <c r="D184" s="44"/>
      <c r="E184" s="44"/>
      <c r="F184" s="44"/>
      <c r="G184" s="44"/>
      <c r="H184" s="44"/>
      <c r="I184" s="6"/>
      <c r="J184" s="6"/>
      <c r="K184" s="6"/>
      <c r="L184" s="6"/>
    </row>
    <row r="185" spans="1:12" ht="12.75">
      <c r="A185" s="44"/>
      <c r="B185" s="44"/>
      <c r="C185" s="44"/>
      <c r="D185" s="44"/>
      <c r="E185" s="44"/>
      <c r="F185" s="44"/>
      <c r="G185" s="44"/>
      <c r="H185" s="44"/>
      <c r="I185" s="6"/>
      <c r="J185" s="6"/>
      <c r="K185" s="6"/>
      <c r="L185" s="6"/>
    </row>
    <row r="186" spans="1:12" ht="12.75">
      <c r="A186" s="44"/>
      <c r="B186" s="44"/>
      <c r="C186" s="44"/>
      <c r="D186" s="44"/>
      <c r="E186" s="44"/>
      <c r="F186" s="44"/>
      <c r="G186" s="44"/>
      <c r="H186" s="44"/>
      <c r="I186" s="6"/>
      <c r="J186" s="6"/>
      <c r="K186" s="6"/>
      <c r="L186" s="6"/>
    </row>
    <row r="187" spans="1:12" ht="12.75">
      <c r="A187" s="44"/>
      <c r="B187" s="44"/>
      <c r="C187" s="44"/>
      <c r="D187" s="44"/>
      <c r="E187" s="44"/>
      <c r="F187" s="44"/>
      <c r="G187" s="44"/>
      <c r="H187" s="44"/>
      <c r="I187" s="6"/>
      <c r="J187" s="6"/>
      <c r="K187" s="6"/>
      <c r="L187" s="6"/>
    </row>
    <row r="188" spans="1:12" ht="12.75">
      <c r="A188" s="44"/>
      <c r="B188" s="44"/>
      <c r="C188" s="44"/>
      <c r="D188" s="44"/>
      <c r="E188" s="44"/>
      <c r="F188" s="44"/>
      <c r="G188" s="44"/>
      <c r="H188" s="44"/>
      <c r="I188" s="6"/>
      <c r="J188" s="6"/>
      <c r="K188" s="6"/>
      <c r="L188" s="6"/>
    </row>
    <row r="189" spans="1:12" ht="12.75">
      <c r="A189" s="44"/>
      <c r="B189" s="44"/>
      <c r="C189" s="44"/>
      <c r="D189" s="44"/>
      <c r="E189" s="44"/>
      <c r="F189" s="44"/>
      <c r="G189" s="44"/>
      <c r="H189" s="44"/>
      <c r="I189" s="6"/>
      <c r="J189" s="6"/>
      <c r="K189" s="6"/>
      <c r="L189" s="6"/>
    </row>
    <row r="190" spans="1:12" ht="12.75">
      <c r="A190" s="44"/>
      <c r="B190" s="44"/>
      <c r="C190" s="44"/>
      <c r="D190" s="44"/>
      <c r="E190" s="44"/>
      <c r="F190" s="44"/>
      <c r="G190" s="44"/>
      <c r="H190" s="44"/>
      <c r="I190" s="6"/>
      <c r="J190" s="6"/>
      <c r="K190" s="6"/>
      <c r="L190" s="6"/>
    </row>
    <row r="191" spans="1:12" ht="12.75">
      <c r="A191" s="44"/>
      <c r="B191" s="44"/>
      <c r="C191" s="44"/>
      <c r="D191" s="44"/>
      <c r="E191" s="44"/>
      <c r="F191" s="44"/>
      <c r="G191" s="44"/>
      <c r="H191" s="44"/>
      <c r="I191" s="6"/>
      <c r="J191" s="6"/>
      <c r="K191" s="6"/>
      <c r="L191" s="6"/>
    </row>
    <row r="192" spans="1:12" ht="12.75">
      <c r="A192" s="44"/>
      <c r="B192" s="44"/>
      <c r="C192" s="44"/>
      <c r="D192" s="44"/>
      <c r="E192" s="44"/>
      <c r="F192" s="44"/>
      <c r="G192" s="44"/>
      <c r="H192" s="44"/>
      <c r="I192" s="6"/>
      <c r="J192" s="6"/>
      <c r="K192" s="6"/>
      <c r="L192" s="6"/>
    </row>
    <row r="193" spans="1:12" ht="12.75">
      <c r="A193" s="44"/>
      <c r="B193" s="44"/>
      <c r="C193" s="44"/>
      <c r="D193" s="44"/>
      <c r="E193" s="44"/>
      <c r="F193" s="44"/>
      <c r="G193" s="44"/>
      <c r="H193" s="44"/>
      <c r="I193" s="6"/>
      <c r="J193" s="6"/>
      <c r="K193" s="6"/>
      <c r="L193" s="6"/>
    </row>
    <row r="194" spans="1:12" ht="12.75">
      <c r="A194" s="44"/>
      <c r="B194" s="44"/>
      <c r="C194" s="44"/>
      <c r="D194" s="44"/>
      <c r="E194" s="44"/>
      <c r="F194" s="44"/>
      <c r="G194" s="44"/>
      <c r="H194" s="44"/>
      <c r="I194" s="6"/>
      <c r="J194" s="6"/>
      <c r="K194" s="6"/>
      <c r="L194" s="6"/>
    </row>
    <row r="195" spans="1:12" ht="12.75">
      <c r="A195" s="44"/>
      <c r="B195" s="44"/>
      <c r="C195" s="44"/>
      <c r="D195" s="44"/>
      <c r="E195" s="44"/>
      <c r="F195" s="44"/>
      <c r="G195" s="44"/>
      <c r="H195" s="44"/>
      <c r="I195" s="6"/>
      <c r="J195" s="6"/>
      <c r="K195" s="6"/>
      <c r="L195" s="6"/>
    </row>
    <row r="196" spans="1:12" ht="12.75">
      <c r="A196" s="44"/>
      <c r="B196" s="44"/>
      <c r="C196" s="44"/>
      <c r="D196" s="44"/>
      <c r="E196" s="44"/>
      <c r="F196" s="44"/>
      <c r="G196" s="44"/>
      <c r="H196" s="44"/>
      <c r="I196" s="6"/>
      <c r="J196" s="6"/>
      <c r="K196" s="6"/>
      <c r="L196" s="6"/>
    </row>
    <row r="197" spans="1:12" ht="12.75">
      <c r="A197" s="44"/>
      <c r="B197" s="44"/>
      <c r="C197" s="44"/>
      <c r="D197" s="44"/>
      <c r="E197" s="44"/>
      <c r="F197" s="44"/>
      <c r="G197" s="44"/>
      <c r="H197" s="44"/>
      <c r="I197" s="6"/>
      <c r="J197" s="6"/>
      <c r="K197" s="6"/>
      <c r="L197" s="6"/>
    </row>
    <row r="198" spans="1:12" ht="12.75">
      <c r="A198" s="44"/>
      <c r="B198" s="44"/>
      <c r="C198" s="44"/>
      <c r="D198" s="44"/>
      <c r="E198" s="44"/>
      <c r="F198" s="44"/>
      <c r="G198" s="44"/>
      <c r="H198" s="44"/>
      <c r="I198" s="6"/>
      <c r="J198" s="6"/>
      <c r="K198" s="6"/>
      <c r="L198" s="6"/>
    </row>
    <row r="199" spans="1:12" ht="12.75">
      <c r="A199" s="44"/>
      <c r="B199" s="44"/>
      <c r="C199" s="44"/>
      <c r="D199" s="44"/>
      <c r="E199" s="44"/>
      <c r="F199" s="44"/>
      <c r="G199" s="44"/>
      <c r="H199" s="44"/>
      <c r="I199" s="6"/>
      <c r="J199" s="6"/>
      <c r="K199" s="6"/>
      <c r="L199" s="6"/>
    </row>
    <row r="200" spans="1:12" ht="12.75">
      <c r="A200" s="44"/>
      <c r="B200" s="44"/>
      <c r="C200" s="44"/>
      <c r="D200" s="44"/>
      <c r="E200" s="44"/>
      <c r="F200" s="44"/>
      <c r="G200" s="44"/>
      <c r="H200" s="44"/>
      <c r="I200" s="6"/>
      <c r="J200" s="6"/>
      <c r="K200" s="6"/>
      <c r="L200" s="6"/>
    </row>
    <row r="201" spans="1:11" ht="12.75">
      <c r="A201" s="44"/>
      <c r="B201" s="44"/>
      <c r="C201" s="44"/>
      <c r="D201" s="44"/>
      <c r="E201" s="44"/>
      <c r="F201" s="44"/>
      <c r="G201" s="44"/>
      <c r="H201" s="44"/>
      <c r="I201" s="40"/>
      <c r="J201" s="40"/>
      <c r="K201" s="40"/>
    </row>
    <row r="202" spans="1:11" ht="12.75">
      <c r="A202" s="44"/>
      <c r="B202" s="44"/>
      <c r="C202" s="44"/>
      <c r="D202" s="44"/>
      <c r="E202" s="44"/>
      <c r="F202" s="44"/>
      <c r="G202" s="44"/>
      <c r="H202" s="44"/>
      <c r="I202" s="40"/>
      <c r="J202" s="40"/>
      <c r="K202" s="40"/>
    </row>
    <row r="203" spans="1:11" ht="12.75">
      <c r="A203" s="44"/>
      <c r="B203" s="44"/>
      <c r="C203" s="44"/>
      <c r="D203" s="44"/>
      <c r="E203" s="44"/>
      <c r="F203" s="44"/>
      <c r="G203" s="44"/>
      <c r="H203" s="44"/>
      <c r="I203" s="40"/>
      <c r="J203" s="40"/>
      <c r="K203" s="40"/>
    </row>
    <row r="204" spans="1:11" ht="12.75">
      <c r="A204" s="44"/>
      <c r="B204" s="44"/>
      <c r="C204" s="44"/>
      <c r="D204" s="44"/>
      <c r="E204" s="44"/>
      <c r="F204" s="44"/>
      <c r="G204" s="44"/>
      <c r="H204" s="44"/>
      <c r="I204" s="40"/>
      <c r="J204" s="40"/>
      <c r="K204" s="40"/>
    </row>
    <row r="205" spans="1:11" ht="12.75">
      <c r="A205" s="44"/>
      <c r="B205" s="44"/>
      <c r="C205" s="44"/>
      <c r="D205" s="44"/>
      <c r="E205" s="44"/>
      <c r="F205" s="44"/>
      <c r="G205" s="44"/>
      <c r="H205" s="44"/>
      <c r="I205" s="40"/>
      <c r="J205" s="40"/>
      <c r="K205" s="40"/>
    </row>
    <row r="206" spans="1:11" ht="12.75">
      <c r="A206" s="44"/>
      <c r="B206" s="44"/>
      <c r="C206" s="44"/>
      <c r="D206" s="44"/>
      <c r="E206" s="44"/>
      <c r="F206" s="44"/>
      <c r="G206" s="44"/>
      <c r="H206" s="44"/>
      <c r="I206" s="40"/>
      <c r="J206" s="40"/>
      <c r="K206" s="40"/>
    </row>
    <row r="207" spans="1:11" ht="12.75">
      <c r="A207" s="44"/>
      <c r="B207" s="44"/>
      <c r="C207" s="44"/>
      <c r="D207" s="44"/>
      <c r="E207" s="44"/>
      <c r="F207" s="44"/>
      <c r="G207" s="44"/>
      <c r="H207" s="44"/>
      <c r="I207" s="40"/>
      <c r="J207" s="40"/>
      <c r="K207" s="40"/>
    </row>
    <row r="208" spans="1:11" ht="12.75">
      <c r="A208" s="44"/>
      <c r="B208" s="44"/>
      <c r="C208" s="44"/>
      <c r="D208" s="44"/>
      <c r="E208" s="44"/>
      <c r="F208" s="44"/>
      <c r="G208" s="44"/>
      <c r="H208" s="44"/>
      <c r="I208" s="40"/>
      <c r="J208" s="40"/>
      <c r="K208" s="40"/>
    </row>
    <row r="209" spans="1:11" ht="12.75">
      <c r="A209" s="44"/>
      <c r="B209" s="44"/>
      <c r="C209" s="44"/>
      <c r="D209" s="44"/>
      <c r="E209" s="44"/>
      <c r="F209" s="44"/>
      <c r="G209" s="44"/>
      <c r="H209" s="44"/>
      <c r="I209" s="40"/>
      <c r="J209" s="40"/>
      <c r="K209" s="40"/>
    </row>
    <row r="210" spans="1:11" ht="12.75">
      <c r="A210" s="44"/>
      <c r="B210" s="44"/>
      <c r="C210" s="44"/>
      <c r="D210" s="44"/>
      <c r="E210" s="44"/>
      <c r="F210" s="44"/>
      <c r="G210" s="44"/>
      <c r="H210" s="44"/>
      <c r="I210" s="40"/>
      <c r="J210" s="40"/>
      <c r="K210" s="40"/>
    </row>
    <row r="211" spans="1:11" ht="12.75">
      <c r="A211" s="44"/>
      <c r="B211" s="44"/>
      <c r="C211" s="44"/>
      <c r="D211" s="44"/>
      <c r="E211" s="44"/>
      <c r="F211" s="44"/>
      <c r="G211" s="44"/>
      <c r="H211" s="44"/>
      <c r="I211" s="40"/>
      <c r="J211" s="40"/>
      <c r="K211" s="40"/>
    </row>
    <row r="212" spans="1:11" ht="12.75">
      <c r="A212" s="44"/>
      <c r="B212" s="44"/>
      <c r="C212" s="44"/>
      <c r="D212" s="44"/>
      <c r="E212" s="44"/>
      <c r="F212" s="44"/>
      <c r="G212" s="44"/>
      <c r="H212" s="44"/>
      <c r="I212" s="40"/>
      <c r="J212" s="40"/>
      <c r="K212" s="40"/>
    </row>
    <row r="213" spans="1:11" ht="12.75">
      <c r="A213" s="44"/>
      <c r="B213" s="44"/>
      <c r="C213" s="44"/>
      <c r="D213" s="44"/>
      <c r="E213" s="44"/>
      <c r="F213" s="44"/>
      <c r="G213" s="44"/>
      <c r="H213" s="44"/>
      <c r="I213" s="40"/>
      <c r="J213" s="40"/>
      <c r="K213" s="40"/>
    </row>
    <row r="214" spans="1:11" ht="12.75">
      <c r="A214" s="44"/>
      <c r="B214" s="44"/>
      <c r="C214" s="44"/>
      <c r="D214" s="44"/>
      <c r="E214" s="44"/>
      <c r="F214" s="44"/>
      <c r="G214" s="44"/>
      <c r="H214" s="44"/>
      <c r="I214" s="40"/>
      <c r="J214" s="40"/>
      <c r="K214" s="40"/>
    </row>
    <row r="215" spans="1:11" ht="12.75">
      <c r="A215" s="44"/>
      <c r="B215" s="44"/>
      <c r="C215" s="44"/>
      <c r="D215" s="44"/>
      <c r="E215" s="44"/>
      <c r="F215" s="44"/>
      <c r="G215" s="44"/>
      <c r="H215" s="44"/>
      <c r="I215" s="40"/>
      <c r="J215" s="40"/>
      <c r="K215" s="40"/>
    </row>
    <row r="216" spans="1:11" ht="12.75">
      <c r="A216" s="44"/>
      <c r="B216" s="44"/>
      <c r="C216" s="44"/>
      <c r="D216" s="44"/>
      <c r="E216" s="44"/>
      <c r="F216" s="44"/>
      <c r="G216" s="44"/>
      <c r="H216" s="44"/>
      <c r="I216" s="40"/>
      <c r="J216" s="40"/>
      <c r="K216" s="40"/>
    </row>
    <row r="217" spans="1:11" ht="12.75">
      <c r="A217" s="44"/>
      <c r="B217" s="44"/>
      <c r="C217" s="44"/>
      <c r="D217" s="44"/>
      <c r="E217" s="44"/>
      <c r="F217" s="44"/>
      <c r="G217" s="44"/>
      <c r="H217" s="44"/>
      <c r="I217" s="40"/>
      <c r="J217" s="40"/>
      <c r="K217" s="40"/>
    </row>
    <row r="218" spans="1:11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1:11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1:11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1:11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1:1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1:1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1:1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1:1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1:11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1:11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1:11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1:11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1:11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1:1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1:1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1:11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1:1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1:1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1:1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1:1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1:1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1:1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1:1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1:1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1:1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1:1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1:1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1:1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1:1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1:1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1:1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1:1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1:1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1:1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1:1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</row>
    <row r="272" spans="1:1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</row>
    <row r="273" spans="1:1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</row>
    <row r="274" spans="1:1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</row>
    <row r="275" spans="1:1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</row>
    <row r="276" spans="1:1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</row>
    <row r="277" spans="1:1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</row>
    <row r="278" spans="1:1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</row>
    <row r="279" spans="1:1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</row>
    <row r="280" spans="1:1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</row>
    <row r="281" spans="1:1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</row>
    <row r="282" spans="1:1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</row>
    <row r="283" spans="1:1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</row>
    <row r="284" spans="1:1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</row>
    <row r="285" spans="1:1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</row>
    <row r="286" spans="1:1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</row>
    <row r="287" spans="1:1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</row>
    <row r="288" spans="1:1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1:1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</row>
    <row r="290" spans="1:1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1:1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</row>
    <row r="292" spans="1:1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</row>
    <row r="293" spans="1:1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</row>
    <row r="294" spans="1:1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</row>
    <row r="295" spans="1:1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1:1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1:1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1:1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1:1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1:1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</row>
    <row r="301" spans="1:8" ht="12.75">
      <c r="A301" s="40"/>
      <c r="B301" s="40"/>
      <c r="C301" s="40"/>
      <c r="D301" s="40"/>
      <c r="E301" s="40"/>
      <c r="F301" s="40"/>
      <c r="G301" s="40"/>
      <c r="H301" s="40"/>
    </row>
    <row r="302" spans="1:8" ht="12.75">
      <c r="A302" s="40"/>
      <c r="B302" s="40"/>
      <c r="C302" s="40"/>
      <c r="D302" s="40"/>
      <c r="E302" s="40"/>
      <c r="F302" s="40"/>
      <c r="G302" s="40"/>
      <c r="H302" s="40"/>
    </row>
    <row r="303" spans="1:8" ht="12.75">
      <c r="A303" s="40"/>
      <c r="B303" s="40"/>
      <c r="C303" s="40"/>
      <c r="D303" s="40"/>
      <c r="E303" s="40"/>
      <c r="F303" s="40"/>
      <c r="G303" s="40"/>
      <c r="H303" s="40"/>
    </row>
    <row r="304" spans="1:8" ht="12.75">
      <c r="A304" s="40"/>
      <c r="B304" s="40"/>
      <c r="C304" s="40"/>
      <c r="D304" s="40"/>
      <c r="E304" s="40"/>
      <c r="F304" s="40"/>
      <c r="G304" s="40"/>
      <c r="H304" s="40"/>
    </row>
    <row r="305" spans="1:8" ht="12.75">
      <c r="A305" s="40"/>
      <c r="B305" s="40"/>
      <c r="C305" s="40"/>
      <c r="D305" s="40"/>
      <c r="E305" s="40"/>
      <c r="F305" s="40"/>
      <c r="G305" s="40"/>
      <c r="H305" s="40"/>
    </row>
    <row r="306" spans="1:8" ht="12.75">
      <c r="A306" s="40"/>
      <c r="B306" s="40"/>
      <c r="C306" s="40"/>
      <c r="D306" s="40"/>
      <c r="E306" s="40"/>
      <c r="F306" s="40"/>
      <c r="G306" s="40"/>
      <c r="H306" s="40"/>
    </row>
    <row r="307" spans="1:8" ht="12.75">
      <c r="A307" s="40"/>
      <c r="B307" s="40"/>
      <c r="C307" s="40"/>
      <c r="D307" s="40"/>
      <c r="E307" s="40"/>
      <c r="F307" s="40"/>
      <c r="G307" s="40"/>
      <c r="H307" s="40"/>
    </row>
    <row r="308" spans="1:8" ht="12.75">
      <c r="A308" s="40"/>
      <c r="B308" s="40"/>
      <c r="C308" s="40"/>
      <c r="D308" s="40"/>
      <c r="E308" s="40"/>
      <c r="F308" s="40"/>
      <c r="G308" s="40"/>
      <c r="H308" s="40"/>
    </row>
    <row r="309" spans="1:8" ht="12.75">
      <c r="A309" s="40"/>
      <c r="B309" s="40"/>
      <c r="C309" s="40"/>
      <c r="D309" s="40"/>
      <c r="E309" s="40"/>
      <c r="F309" s="40"/>
      <c r="G309" s="40"/>
      <c r="H309" s="40"/>
    </row>
    <row r="310" spans="1:8" ht="12.75">
      <c r="A310" s="40"/>
      <c r="B310" s="40"/>
      <c r="C310" s="40"/>
      <c r="D310" s="40"/>
      <c r="E310" s="40"/>
      <c r="F310" s="40"/>
      <c r="G310" s="40"/>
      <c r="H310" s="40"/>
    </row>
    <row r="311" spans="1:8" ht="12.75">
      <c r="A311" s="40"/>
      <c r="B311" s="40"/>
      <c r="C311" s="40"/>
      <c r="D311" s="40"/>
      <c r="E311" s="40"/>
      <c r="F311" s="40"/>
      <c r="G311" s="40"/>
      <c r="H311" s="40"/>
    </row>
    <row r="312" spans="1:8" ht="12.75">
      <c r="A312" s="40"/>
      <c r="B312" s="40"/>
      <c r="C312" s="40"/>
      <c r="D312" s="40"/>
      <c r="E312" s="40"/>
      <c r="F312" s="40"/>
      <c r="G312" s="40"/>
      <c r="H312" s="40"/>
    </row>
    <row r="313" spans="1:8" ht="12.75">
      <c r="A313" s="40"/>
      <c r="B313" s="40"/>
      <c r="C313" s="40"/>
      <c r="D313" s="40"/>
      <c r="E313" s="40"/>
      <c r="F313" s="40"/>
      <c r="G313" s="40"/>
      <c r="H313" s="40"/>
    </row>
    <row r="314" spans="1:8" ht="12.75">
      <c r="A314" s="40"/>
      <c r="B314" s="40"/>
      <c r="C314" s="40"/>
      <c r="D314" s="40"/>
      <c r="E314" s="40"/>
      <c r="F314" s="40"/>
      <c r="G314" s="40"/>
      <c r="H314" s="40"/>
    </row>
    <row r="315" spans="1:8" ht="12.75">
      <c r="A315" s="40"/>
      <c r="B315" s="40"/>
      <c r="C315" s="40"/>
      <c r="D315" s="40"/>
      <c r="E315" s="40"/>
      <c r="F315" s="40"/>
      <c r="G315" s="40"/>
      <c r="H315" s="40"/>
    </row>
    <row r="316" spans="1:8" ht="12.75">
      <c r="A316" s="40"/>
      <c r="B316" s="40"/>
      <c r="C316" s="40"/>
      <c r="D316" s="40"/>
      <c r="E316" s="40"/>
      <c r="F316" s="40"/>
      <c r="G316" s="40"/>
      <c r="H316" s="40"/>
    </row>
    <row r="317" spans="1:8" ht="12.75">
      <c r="A317" s="40"/>
      <c r="B317" s="40"/>
      <c r="C317" s="40"/>
      <c r="D317" s="40"/>
      <c r="E317" s="40"/>
      <c r="F317" s="40"/>
      <c r="G317" s="40"/>
      <c r="H317" s="40"/>
    </row>
  </sheetData>
  <sheetProtection password="CC06" sheet="1" objects="1" scenarios="1"/>
  <hyperlinks>
    <hyperlink ref="D122" r:id="rId1" display="ag.info@omafra.gov.on.ca"/>
  </hyperlinks>
  <printOptions/>
  <pageMargins left="0.75" right="0.75" top="1" bottom="1" header="0.5" footer="0.5"/>
  <pageSetup blackAndWhite="1" horizontalDpi="600" verticalDpi="600" orientation="portrait" scale="77" r:id="rId3"/>
  <headerFooter alignWithMargins="0">
    <oddHeader xml:space="preserve">&amp;L                                                                        </oddHeader>
    <oddFooter>&amp;CPage -&amp;P-&amp;R</oddFooter>
  </headerFooter>
  <rowBreaks count="1" manualBreakCount="1">
    <brk id="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molenhuisjo</cp:lastModifiedBy>
  <cp:lastPrinted>2006-03-28T16:12:07Z</cp:lastPrinted>
  <dcterms:created xsi:type="dcterms:W3CDTF">2005-03-24T15:43:07Z</dcterms:created>
  <dcterms:modified xsi:type="dcterms:W3CDTF">2006-04-07T18:39:55Z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