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Data\updatedbudgets\"/>
    </mc:Choice>
  </mc:AlternateContent>
  <xr:revisionPtr revIDLastSave="0" documentId="13_ncr:1_{D7E66FE9-631D-434E-A85B-D4AED4A3417B}" xr6:coauthVersionLast="41" xr6:coauthVersionMax="41" xr10:uidLastSave="{00000000-0000-0000-0000-000000000000}"/>
  <bookViews>
    <workbookView xWindow="-120" yWindow="-120" windowWidth="29040" windowHeight="17640" xr2:uid="{00000000-000D-0000-FFFF-FFFF00000000}"/>
  </bookViews>
  <sheets>
    <sheet name="PERENNIAL"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PERENNIAL!$A$2:$Y$184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27" i="1" l="1"/>
  <c r="G113" i="1" s="1"/>
  <c r="AA128" i="1" s="1"/>
  <c r="H113" i="1" s="1"/>
  <c r="AA173" i="1"/>
  <c r="G112" i="1"/>
  <c r="AA113" i="1" s="1"/>
  <c r="H112" i="1" s="1"/>
  <c r="AA112" i="1"/>
  <c r="AA56" i="1" l="1"/>
  <c r="G52" i="1" s="1"/>
  <c r="AA57" i="1" s="1"/>
  <c r="H52" i="1" s="1"/>
  <c r="AA54" i="1"/>
  <c r="G51" i="1" s="1"/>
  <c r="AA55" i="1" s="1"/>
  <c r="H51" i="1" s="1"/>
  <c r="AA58" i="1"/>
  <c r="AA52" i="1"/>
  <c r="G47" i="1" s="1"/>
  <c r="AA53" i="1" s="1"/>
  <c r="H47" i="1" s="1"/>
  <c r="AA50" i="1"/>
  <c r="G46" i="1" s="1"/>
  <c r="AA51" i="1" s="1"/>
  <c r="H46" i="1" s="1"/>
  <c r="AA47" i="1"/>
  <c r="G44" i="1" s="1"/>
  <c r="AA48" i="1" s="1"/>
  <c r="H44" i="1" s="1"/>
  <c r="AA45" i="1"/>
  <c r="G43" i="1" s="1"/>
  <c r="AA46" i="1" s="1"/>
  <c r="H43" i="1" s="1"/>
  <c r="AA42" i="1"/>
  <c r="G41" i="1" s="1"/>
  <c r="AA43" i="1" s="1"/>
  <c r="H41" i="1" s="1"/>
  <c r="AA40" i="1"/>
  <c r="G40" i="1" s="1"/>
  <c r="AA41" i="1" s="1"/>
  <c r="H40" i="1" s="1"/>
  <c r="A12" i="1" l="1"/>
  <c r="A11" i="1"/>
  <c r="A10" i="1"/>
  <c r="F58" i="1" l="1"/>
  <c r="AA84" i="1" l="1"/>
  <c r="G77" i="1" s="1"/>
  <c r="AA85" i="1" s="1"/>
  <c r="H77" i="1" s="1"/>
  <c r="AA86" i="1"/>
  <c r="G78" i="1" s="1"/>
  <c r="AA87" i="1" s="1"/>
  <c r="H78" i="1" s="1"/>
  <c r="AA205" i="1" l="1"/>
  <c r="AA207" i="1" s="1"/>
  <c r="H138" i="1" s="1"/>
  <c r="AA206" i="1" s="1"/>
  <c r="G138" i="1" s="1"/>
  <c r="AA199" i="1"/>
  <c r="AA201" i="1" s="1"/>
  <c r="H135" i="1" s="1"/>
  <c r="AA200" i="1" s="1"/>
  <c r="G135" i="1" s="1"/>
  <c r="AA196" i="1"/>
  <c r="AA198" i="1" s="1"/>
  <c r="H134" i="1" s="1"/>
  <c r="AA190" i="1"/>
  <c r="AA175" i="1"/>
  <c r="AA177" i="1" s="1"/>
  <c r="H121" i="1" s="1"/>
  <c r="AA176" i="1" s="1"/>
  <c r="G121" i="1" s="1"/>
  <c r="AA178" i="1"/>
  <c r="AA180" i="1" s="1"/>
  <c r="H122" i="1" s="1"/>
  <c r="AA179" i="1" s="1"/>
  <c r="G122" i="1" s="1"/>
  <c r="AA181" i="1"/>
  <c r="AA183" i="1" s="1"/>
  <c r="H123" i="1" s="1"/>
  <c r="AA182" i="1" s="1"/>
  <c r="G123" i="1" s="1"/>
  <c r="AA184" i="1"/>
  <c r="AA186" i="1" s="1"/>
  <c r="H124" i="1" s="1"/>
  <c r="AA185" i="1" s="1"/>
  <c r="G124" i="1" s="1"/>
  <c r="AA187" i="1"/>
  <c r="AA189" i="1" s="1"/>
  <c r="H125" i="1" s="1"/>
  <c r="AA188" i="1" s="1"/>
  <c r="G125" i="1" s="1"/>
  <c r="AA93" i="1"/>
  <c r="G58" i="1" s="1"/>
  <c r="AA94" i="1" s="1"/>
  <c r="H58" i="1" s="1"/>
  <c r="AA101" i="1"/>
  <c r="G67" i="1" s="1"/>
  <c r="AA102" i="1" s="1"/>
  <c r="H67" i="1" s="1"/>
  <c r="AA99" i="1"/>
  <c r="G66" i="1" s="1"/>
  <c r="AA100" i="1" s="1"/>
  <c r="H66" i="1" s="1"/>
  <c r="AA81" i="1"/>
  <c r="G56" i="1" s="1"/>
  <c r="AA90" i="1" s="1"/>
  <c r="H56" i="1" s="1"/>
  <c r="AA107" i="1"/>
  <c r="G70" i="1" s="1"/>
  <c r="AA108" i="1" s="1"/>
  <c r="H70" i="1" s="1"/>
  <c r="AA105" i="1"/>
  <c r="G69" i="1" s="1"/>
  <c r="AA106" i="1" s="1"/>
  <c r="H69" i="1" s="1"/>
  <c r="AA77" i="1"/>
  <c r="G49" i="1" s="1"/>
  <c r="AA78" i="1" s="1"/>
  <c r="H49" i="1" s="1"/>
  <c r="AA69" i="1"/>
  <c r="G39" i="1" s="1"/>
  <c r="AA70" i="1" s="1"/>
  <c r="H39" i="1" s="1"/>
  <c r="AA62" i="1"/>
  <c r="G36" i="1" s="1"/>
  <c r="AA63" i="1" s="1"/>
  <c r="H36" i="1" s="1"/>
  <c r="AA44" i="1"/>
  <c r="G33" i="1" s="1"/>
  <c r="AA49" i="1" s="1"/>
  <c r="H33" i="1" s="1"/>
  <c r="AA38" i="1"/>
  <c r="G32" i="1" s="1"/>
  <c r="AA39" i="1" s="1"/>
  <c r="H32" i="1" s="1"/>
  <c r="AA164" i="1"/>
  <c r="G137" i="1" s="1"/>
  <c r="AA165" i="1" s="1"/>
  <c r="H137" i="1" s="1"/>
  <c r="AA202" i="1"/>
  <c r="AA204" i="1" s="1"/>
  <c r="H136" i="1" s="1"/>
  <c r="AA203" i="1" s="1"/>
  <c r="G136" i="1" s="1"/>
  <c r="AA18" i="1"/>
  <c r="G26" i="1" s="1"/>
  <c r="AA21" i="1"/>
  <c r="G27" i="1" s="1"/>
  <c r="AA22" i="1" s="1"/>
  <c r="H27" i="1" s="1"/>
  <c r="AA23" i="1"/>
  <c r="G28" i="1" s="1"/>
  <c r="AA24" i="1" s="1"/>
  <c r="H28" i="1" s="1"/>
  <c r="AA26" i="1"/>
  <c r="G29" i="1" s="1"/>
  <c r="AA27" i="1" s="1"/>
  <c r="H29" i="1" s="1"/>
  <c r="AA29" i="1"/>
  <c r="G30" i="1" s="1"/>
  <c r="AA30" i="1" s="1"/>
  <c r="H30" i="1" s="1"/>
  <c r="AA35" i="1"/>
  <c r="G31" i="1" s="1"/>
  <c r="AA36" i="1" s="1"/>
  <c r="H31" i="1" s="1"/>
  <c r="G34" i="1"/>
  <c r="AA59" i="1" s="1"/>
  <c r="H34" i="1" s="1"/>
  <c r="AA65" i="1"/>
  <c r="G37" i="1" s="1"/>
  <c r="AA66" i="1" s="1"/>
  <c r="H37" i="1" s="1"/>
  <c r="AA67" i="1"/>
  <c r="G38" i="1" s="1"/>
  <c r="AA68" i="1" s="1"/>
  <c r="H38" i="1" s="1"/>
  <c r="AA71" i="1"/>
  <c r="G42" i="1" s="1"/>
  <c r="AA72" i="1" s="1"/>
  <c r="H42" i="1" s="1"/>
  <c r="AA75" i="1"/>
  <c r="G45" i="1" s="1"/>
  <c r="AA76" i="1" s="1"/>
  <c r="H45" i="1" s="1"/>
  <c r="AA73" i="1"/>
  <c r="G48" i="1" s="1"/>
  <c r="AA74" i="1" s="1"/>
  <c r="H48" i="1" s="1"/>
  <c r="AA79" i="1"/>
  <c r="G50" i="1" s="1"/>
  <c r="AA80" i="1" s="1"/>
  <c r="H50" i="1" s="1"/>
  <c r="AA82" i="1"/>
  <c r="G53" i="1" s="1"/>
  <c r="AA83" i="1" s="1"/>
  <c r="H53" i="1" s="1"/>
  <c r="AA88" i="1"/>
  <c r="G54" i="1" s="1"/>
  <c r="AA89" i="1" s="1"/>
  <c r="H54" i="1" s="1"/>
  <c r="AA91" i="1"/>
  <c r="G57" i="1" s="1"/>
  <c r="AA92" i="1" s="1"/>
  <c r="H57" i="1" s="1"/>
  <c r="AA95" i="1"/>
  <c r="G59" i="1" s="1"/>
  <c r="AA96" i="1" s="1"/>
  <c r="H59" i="1" s="1"/>
  <c r="AA103" i="1"/>
  <c r="G68" i="1" s="1"/>
  <c r="AA104" i="1" s="1"/>
  <c r="H68" i="1" s="1"/>
  <c r="AA156" i="1"/>
  <c r="E109" i="1" s="1"/>
  <c r="AA227" i="1"/>
  <c r="I156" i="1" s="1"/>
  <c r="AA210" i="1"/>
  <c r="E145" i="1" s="1"/>
  <c r="AA211" i="1" s="1"/>
  <c r="F145" i="1" s="1"/>
  <c r="AA14" i="1" s="1"/>
  <c r="K19" i="1" s="1"/>
  <c r="AA157" i="1"/>
  <c r="F109" i="1" s="1"/>
  <c r="AA117" i="1"/>
  <c r="G86" i="1" s="1"/>
  <c r="AA118" i="1" s="1"/>
  <c r="H86" i="1" s="1"/>
  <c r="AA119" i="1"/>
  <c r="G87" i="1" s="1"/>
  <c r="AA120" i="1" s="1"/>
  <c r="H87" i="1" s="1"/>
  <c r="AA121" i="1"/>
  <c r="G89" i="1" s="1"/>
  <c r="AA122" i="1" s="1"/>
  <c r="H89" i="1" s="1"/>
  <c r="AA123" i="1"/>
  <c r="G90" i="1" s="1"/>
  <c r="AA124" i="1" s="1"/>
  <c r="H90" i="1" s="1"/>
  <c r="AA125" i="1"/>
  <c r="G91" i="1" s="1"/>
  <c r="AA126" i="1" s="1"/>
  <c r="H91" i="1" s="1"/>
  <c r="AA131" i="1"/>
  <c r="AA132" i="1"/>
  <c r="G95" i="1" s="1"/>
  <c r="AA133" i="1" s="1"/>
  <c r="H95" i="1" s="1"/>
  <c r="AA134" i="1"/>
  <c r="G96" i="1" s="1"/>
  <c r="AA135" i="1" s="1"/>
  <c r="H96" i="1" s="1"/>
  <c r="AA136" i="1"/>
  <c r="AA137" i="1"/>
  <c r="G98" i="1" s="1"/>
  <c r="AA138" i="1" s="1"/>
  <c r="H98" i="1" s="1"/>
  <c r="AA139" i="1"/>
  <c r="G99" i="1" s="1"/>
  <c r="AA140" i="1" s="1"/>
  <c r="H99" i="1" s="1"/>
  <c r="AA141" i="1"/>
  <c r="AA142" i="1"/>
  <c r="G101" i="1" s="1"/>
  <c r="AA143" i="1" s="1"/>
  <c r="H101" i="1" s="1"/>
  <c r="AA144" i="1"/>
  <c r="G102" i="1" s="1"/>
  <c r="AA145" i="1" s="1"/>
  <c r="H102" i="1" s="1"/>
  <c r="AA150" i="1"/>
  <c r="G106" i="1" s="1"/>
  <c r="AA151" i="1" s="1"/>
  <c r="H106" i="1" s="1"/>
  <c r="AA152" i="1"/>
  <c r="G107" i="1" s="1"/>
  <c r="AA153" i="1" s="1"/>
  <c r="H107" i="1" s="1"/>
  <c r="AA154" i="1"/>
  <c r="G108" i="1" s="1"/>
  <c r="AA155" i="1" s="1"/>
  <c r="H108" i="1" s="1"/>
  <c r="AA160" i="1"/>
  <c r="G110" i="1" s="1"/>
  <c r="AA161" i="1" s="1"/>
  <c r="H110" i="1" s="1"/>
  <c r="AA162" i="1"/>
  <c r="G111" i="1" s="1"/>
  <c r="AA163" i="1" s="1"/>
  <c r="H111" i="1" s="1"/>
  <c r="AA166" i="1"/>
  <c r="AA167" i="1"/>
  <c r="G115" i="1" s="1"/>
  <c r="AA168" i="1" s="1"/>
  <c r="H115" i="1" s="1"/>
  <c r="AA169" i="1"/>
  <c r="G116" i="1" s="1"/>
  <c r="AA170" i="1" s="1"/>
  <c r="H116" i="1" s="1"/>
  <c r="AA171" i="1"/>
  <c r="G117" i="1" s="1"/>
  <c r="AA172" i="1" s="1"/>
  <c r="H117" i="1" s="1"/>
  <c r="G118" i="1"/>
  <c r="AA174" i="1" s="1"/>
  <c r="H118" i="1" s="1"/>
  <c r="AA7" i="1"/>
  <c r="D17" i="1" s="1"/>
  <c r="AA4" i="1"/>
  <c r="C12" i="1" s="1"/>
  <c r="AA5" i="1"/>
  <c r="E12" i="1" s="1"/>
  <c r="AA6" i="1"/>
  <c r="G12" i="1" s="1"/>
  <c r="AA16" i="1"/>
  <c r="K21" i="1" s="1"/>
  <c r="AA17" i="1"/>
  <c r="K22" i="1" s="1"/>
  <c r="AA20" i="1"/>
  <c r="K24" i="1" s="1"/>
  <c r="AA116" i="1"/>
  <c r="A81" i="1" s="1"/>
  <c r="AA110" i="1" l="1"/>
  <c r="H72" i="1" s="1"/>
  <c r="AA197" i="1"/>
  <c r="G134" i="1" s="1"/>
  <c r="AA226" i="1"/>
  <c r="I155" i="1" s="1"/>
  <c r="AA228" i="1" s="1"/>
  <c r="I157" i="1" s="1"/>
  <c r="AA158" i="1"/>
  <c r="G109" i="1" s="1"/>
  <c r="AA159" i="1" s="1"/>
  <c r="H109" i="1" s="1"/>
  <c r="AA61" i="1" s="1"/>
  <c r="K35" i="1" s="1"/>
  <c r="AA64" i="1" s="1"/>
  <c r="K36" i="1" s="1"/>
  <c r="AA25" i="1"/>
  <c r="K26" i="1" s="1"/>
  <c r="AA60" i="1"/>
  <c r="K34" i="1" s="1"/>
  <c r="AA12" i="1" s="1"/>
  <c r="D20" i="1" s="1"/>
  <c r="AA34" i="1"/>
  <c r="K29" i="1" s="1"/>
  <c r="AA28" i="1"/>
  <c r="K27" i="1" s="1"/>
  <c r="AA37" i="1"/>
  <c r="K30" i="1" s="1"/>
  <c r="AA97" i="1"/>
  <c r="G61" i="1" s="1"/>
  <c r="AA109" i="1"/>
  <c r="G72" i="1" s="1"/>
  <c r="AA19" i="1"/>
  <c r="H26" i="1" s="1"/>
  <c r="AA98" i="1" s="1"/>
  <c r="H61" i="1" s="1"/>
  <c r="AA111" i="1" l="1"/>
  <c r="H74" i="1" s="1"/>
  <c r="G74" i="1"/>
  <c r="AA114" i="1" s="1"/>
  <c r="G80" i="1" s="1"/>
  <c r="AA195" i="1"/>
  <c r="J127" i="1" s="1"/>
  <c r="AA192" i="1" s="1"/>
  <c r="H128" i="1" s="1"/>
  <c r="AA194" i="1" s="1"/>
  <c r="H130" i="1" s="1"/>
  <c r="AA31" i="1" s="1"/>
  <c r="K28" i="1" s="1"/>
  <c r="AA10" i="1"/>
  <c r="D19" i="1" s="1"/>
  <c r="AA212" i="1" s="1"/>
  <c r="E146" i="1" s="1"/>
  <c r="AA213" i="1" s="1"/>
  <c r="F146" i="1" s="1"/>
  <c r="AA9" i="1" s="1"/>
  <c r="K16" i="1" s="1"/>
  <c r="AA8" i="1"/>
  <c r="D18" i="1" s="1"/>
  <c r="AA235" i="1"/>
  <c r="G170" i="1" s="1"/>
  <c r="H170" i="1" s="1"/>
  <c r="AA15" i="1"/>
  <c r="K20" i="1" s="1"/>
  <c r="AA115" i="1" l="1"/>
  <c r="G139" i="1"/>
  <c r="AA191" i="1"/>
  <c r="G128" i="1" s="1"/>
  <c r="AA11" i="1"/>
  <c r="K17" i="1" s="1"/>
  <c r="AA193" i="1"/>
  <c r="G130" i="1" s="1"/>
  <c r="AA215" i="1"/>
  <c r="F147" i="1" s="1"/>
  <c r="AA214" i="1" l="1"/>
  <c r="E147" i="1" s="1"/>
  <c r="AA222" i="1" s="1"/>
  <c r="G154" i="1" s="1"/>
  <c r="AA217" i="1"/>
  <c r="F149" i="1" s="1"/>
  <c r="AA216" i="1" l="1"/>
  <c r="E149" i="1" s="1"/>
  <c r="H80" i="1" l="1"/>
  <c r="H139" i="1" s="1"/>
  <c r="AA209" i="1" s="1"/>
  <c r="H142" i="1" s="1"/>
  <c r="AA208" i="1" l="1"/>
  <c r="G142" i="1" s="1"/>
  <c r="AA219" i="1"/>
  <c r="F150" i="1" s="1"/>
  <c r="AA218" i="1" s="1"/>
  <c r="E150" i="1" s="1"/>
  <c r="AA13" i="1"/>
  <c r="K18" i="1" s="1"/>
  <c r="AA221" i="1" l="1"/>
  <c r="F152" i="1" s="1"/>
  <c r="AA220" i="1"/>
  <c r="E152" i="1" s="1"/>
  <c r="AA223" i="1"/>
  <c r="G155" i="1" s="1"/>
  <c r="AA224" i="1" s="1"/>
  <c r="G157" i="1" s="1"/>
  <c r="AA225" i="1" l="1"/>
  <c r="I154" i="1" s="1"/>
  <c r="AA2" i="1"/>
  <c r="H4" i="1" s="1"/>
  <c r="AA241" i="1" l="1"/>
  <c r="C176" i="1" s="1"/>
  <c r="AA240" i="1"/>
  <c r="C175" i="1" s="1"/>
  <c r="AA242" i="1"/>
  <c r="C177" i="1" s="1"/>
  <c r="AA231" i="1"/>
  <c r="J159" i="1" s="1"/>
  <c r="AA230" i="1"/>
  <c r="I159" i="1" s="1"/>
  <c r="AA243" i="1"/>
  <c r="C178" i="1" s="1"/>
  <c r="AA244" i="1"/>
  <c r="C179" i="1" s="1"/>
  <c r="AA234" i="1" l="1"/>
  <c r="J160" i="1" s="1"/>
  <c r="AA237" i="1"/>
  <c r="J161" i="1" s="1"/>
  <c r="AA233" i="1"/>
  <c r="I160" i="1" s="1"/>
  <c r="AA236" i="1"/>
  <c r="I161" i="1" s="1"/>
  <c r="AA238" i="1" l="1"/>
  <c r="I162" i="1" s="1"/>
  <c r="AA229" i="1" s="1"/>
  <c r="G167" i="1" s="1"/>
  <c r="AA239" i="1"/>
  <c r="J162" i="1" s="1"/>
  <c r="AA232" i="1" s="1"/>
  <c r="G1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Molenhuis, John (OMAFRA)</author>
    <author>Harris, Nicole (OMAFRA)</author>
  </authors>
  <commentList>
    <comment ref="C9" authorId="0" shapeId="0" xr:uid="{00000000-0006-0000-0000-000001000000}">
      <text>
        <r>
          <rPr>
            <b/>
            <sz val="8"/>
            <color indexed="81"/>
            <rFont val="Tahoma"/>
            <family val="2"/>
          </rPr>
          <t>The Optimistic estimate is best result you would reasonably expect to be seen at least 1 out of every 6 years</t>
        </r>
        <r>
          <rPr>
            <sz val="8"/>
            <color indexed="81"/>
            <rFont val="Tahoma"/>
            <family val="2"/>
          </rPr>
          <t xml:space="preserve">
</t>
        </r>
      </text>
    </comment>
    <comment ref="E9"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9"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A59" authorId="1" shapeId="0" xr:uid="{7E8FDC81-2D4F-4738-8EAB-D232BD4EBED2}">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0" authorId="2" shapeId="0" xr:uid="{0CD47B25-7089-495C-B52F-AE4C27D0C1C2}">
      <text>
        <r>
          <rPr>
            <b/>
            <sz val="12"/>
            <color indexed="81"/>
            <rFont val="Arial"/>
            <family val="2"/>
          </rPr>
          <t>To arrive at a $/acre, add your Property taxes, insurance premiums other than production/livestock insurance, and Other general fixed costs and divide by your total # of acres</t>
        </r>
      </text>
    </comment>
    <comment ref="A125" authorId="1" shapeId="0" xr:uid="{E53C22B5-E4CB-4104-AF63-0F3DB83E95B7}">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138" authorId="2" shapeId="0" xr:uid="{E88F6A40-D1AA-4AF7-AE59-D59250AC29C6}">
      <text>
        <r>
          <rPr>
            <b/>
            <sz val="12"/>
            <color indexed="81"/>
            <rFont val="Arial"/>
            <family val="2"/>
          </rPr>
          <t>To arrive at a $/acre, add your Property taxes, insurance premiums other than production/livestock insurance, and Other general fixed costs and divide by your total # of acres</t>
        </r>
      </text>
    </comment>
    <comment ref="C170"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<sst xmlns="http://schemas.openxmlformats.org/spreadsheetml/2006/main" count="323" uniqueCount="174">
  <si>
    <t>Number of Acres =</t>
  </si>
  <si>
    <t>1 tonne =</t>
  </si>
  <si>
    <t xml:space="preserve">  Crop Insurance</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</si>
  <si>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</si>
  <si>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</si>
  <si>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</si>
  <si>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</si>
  <si>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</si>
  <si>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</si>
  <si>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</si>
  <si>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Expenses</t>
  </si>
  <si>
    <t>Unit/Ac</t>
  </si>
  <si>
    <t>Number</t>
  </si>
  <si>
    <t>Cost/Unit</t>
  </si>
  <si>
    <t>$/Acre</t>
  </si>
  <si>
    <t>$/Year</t>
  </si>
  <si>
    <t>Allo!C3..J14</t>
  </si>
  <si>
    <t>no.</t>
  </si>
  <si>
    <t xml:space="preserve"> Cover Crop Seed</t>
  </si>
  <si>
    <t xml:space="preserve"> Replacement Trees</t>
  </si>
  <si>
    <t>hr.</t>
  </si>
  <si>
    <t>Grip prob factor (component of grip)</t>
  </si>
  <si>
    <t>N/A</t>
  </si>
  <si>
    <t>C.I. prob factor (component of Crop Insurance)</t>
  </si>
  <si>
    <t xml:space="preserve">  Fungicides</t>
  </si>
  <si>
    <t xml:space="preserve">  Herbicides</t>
  </si>
  <si>
    <t>$</t>
  </si>
  <si>
    <t xml:space="preserve">  Fuel</t>
  </si>
  <si>
    <t xml:space="preserve">  Equip. Repair &amp; Maint.</t>
  </si>
  <si>
    <t xml:space="preserve">  Interest on Oper. Cap.</t>
  </si>
  <si>
    <t xml:space="preserve">  General Variable Costs</t>
  </si>
  <si>
    <t xml:space="preserve">  ------</t>
  </si>
  <si>
    <t>Total Variable Costs for Establishment</t>
  </si>
  <si>
    <t>Fixed Costs:</t>
  </si>
  <si>
    <t>-------</t>
  </si>
  <si>
    <t xml:space="preserve"> -------</t>
  </si>
  <si>
    <t>--------</t>
  </si>
  <si>
    <t>Total Fixed Costs for Establishment</t>
  </si>
  <si>
    <t>ANNUAL PRODUCTION COSTS:</t>
  </si>
  <si>
    <t>---</t>
  </si>
  <si>
    <t xml:space="preserve"> Other Expenses:</t>
  </si>
  <si>
    <t>Insurance</t>
  </si>
  <si>
    <t>Typical</t>
  </si>
  <si>
    <t xml:space="preserve"> $/Acre</t>
  </si>
  <si>
    <t xml:space="preserve"> Fuel</t>
  </si>
  <si>
    <t xml:space="preserve"> Mach. Repair &amp; Maint.</t>
  </si>
  <si>
    <t xml:space="preserve"> Bldg. Repair &amp; Maint.</t>
  </si>
  <si>
    <t xml:space="preserve"> General Variable Costs</t>
  </si>
  <si>
    <t>Wfarm!L4</t>
  </si>
  <si>
    <t>Wfarm!L5</t>
  </si>
  <si>
    <t xml:space="preserve"> Interest on</t>
  </si>
  <si>
    <t>%int</t>
  </si>
  <si>
    <t>%year</t>
  </si>
  <si>
    <t>Wfarm!L6</t>
  </si>
  <si>
    <t xml:space="preserve"> Operating Capital</t>
  </si>
  <si>
    <t>Wfarm!L7</t>
  </si>
  <si>
    <t>Wfarm!L8</t>
  </si>
  <si>
    <t>Total Variable Costs</t>
  </si>
  <si>
    <t>Wfarm!L9</t>
  </si>
  <si>
    <t xml:space="preserve"> General Fixed Costs</t>
  </si>
  <si>
    <t>Wfarm!K4</t>
  </si>
  <si>
    <t>Total Fixed Costs</t>
  </si>
  <si>
    <t>Wfarm!K5</t>
  </si>
  <si>
    <t>Wfarm!K6</t>
  </si>
  <si>
    <t>Revenues:</t>
  </si>
  <si>
    <t>Wfarm!K7</t>
  </si>
  <si>
    <t>Total Expected Revenues</t>
  </si>
  <si>
    <t xml:space="preserve">    add: Expected Insurance Revenues</t>
  </si>
  <si>
    <t xml:space="preserve">    less: Variable Costs</t>
  </si>
  <si>
    <t>Expected Operating Margin</t>
  </si>
  <si>
    <t xml:space="preserve">    less: Fixed Costs</t>
  </si>
  <si>
    <t>Expected Net Revenue</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</si>
  <si>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</si>
  <si>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</si>
  <si>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</si>
  <si>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</si>
  <si>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</si>
  <si>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</si>
  <si>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</si>
  <si>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</si>
  <si>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</si>
  <si>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</si>
  <si>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</si>
  <si>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</si>
  <si>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</si>
  <si>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</si>
  <si>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</si>
  <si>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</si>
  <si>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</si>
  <si>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</si>
  <si>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</si>
  <si>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</si>
  <si>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</si>
  <si>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</si>
  <si>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</si>
  <si>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lb</t>
  </si>
  <si>
    <t xml:space="preserve">  Hand Labour</t>
  </si>
  <si>
    <t xml:space="preserve">  Machine Operator Labour</t>
  </si>
  <si>
    <t xml:space="preserve">  Custom Work</t>
  </si>
  <si>
    <t xml:space="preserve">  Interest on Investment - machinery</t>
  </si>
  <si>
    <t xml:space="preserve">  Depreciation - machinery</t>
  </si>
  <si>
    <t xml:space="preserve"> Interest on Investment - machinery</t>
  </si>
  <si>
    <t xml:space="preserve"> Depreciation - machinery</t>
  </si>
  <si>
    <t xml:space="preserve">  Land Costs</t>
  </si>
  <si>
    <t xml:space="preserve">The user of this worksheet assumes all responsibility. </t>
  </si>
  <si>
    <t>For more information:</t>
  </si>
  <si>
    <t>1-877-424-1300</t>
  </si>
  <si>
    <t xml:space="preserve">Risk Indicator - </t>
  </si>
  <si>
    <t>Coefficient of variation                 ==&gt;</t>
  </si>
  <si>
    <t>Low Risk</t>
  </si>
  <si>
    <t>Moderate Risk</t>
  </si>
  <si>
    <t>High Risk</t>
  </si>
  <si>
    <t>Return Per Acre:</t>
  </si>
  <si>
    <t xml:space="preserve"> Amortization - Establishment Costs: Direct Entry</t>
  </si>
  <si>
    <t>Optimistic</t>
  </si>
  <si>
    <t xml:space="preserve"> Expected</t>
  </si>
  <si>
    <t>Pessimistic</t>
  </si>
  <si>
    <t>$/Est. Period</t>
  </si>
  <si>
    <t>OMAFRA Agricultural Information Contact Centre</t>
  </si>
  <si>
    <t>ag.info.omafra@ontario.ca</t>
  </si>
  <si>
    <t>Establishment period (years):</t>
  </si>
  <si>
    <t>ESTABLISHMENT COSTS</t>
  </si>
  <si>
    <t xml:space="preserve"> Irrigation </t>
  </si>
  <si>
    <t xml:space="preserve"> Tile Drainage and Land Leveling</t>
  </si>
  <si>
    <t>kg</t>
  </si>
  <si>
    <t xml:space="preserve">  Cover crop seed</t>
  </si>
  <si>
    <t xml:space="preserve">  Irrigation </t>
  </si>
  <si>
    <t xml:space="preserve">         Break-even $/ton to cover:</t>
  </si>
  <si>
    <t xml:space="preserve"> Land rental</t>
  </si>
  <si>
    <t xml:space="preserve"> Land ownership</t>
  </si>
  <si>
    <t>Numbers in blue can be edited/changed for individual producers</t>
  </si>
  <si>
    <t>This is a cost of production budgeting tool that has 1 worksheet. There are fields that can be completed by the user. It is up to 21 columns wide and 252 rows.</t>
  </si>
  <si>
    <t xml:space="preserve"> Production Insurance</t>
  </si>
  <si>
    <t xml:space="preserve">   P.I. Premium/ac:</t>
  </si>
  <si>
    <t xml:space="preserve"> Participate in PI? (y/n)</t>
  </si>
  <si>
    <t xml:space="preserve">  Food safety</t>
  </si>
  <si>
    <t>Revenue (establishment period)</t>
  </si>
  <si>
    <t>Harvest costs (establishment period)</t>
  </si>
  <si>
    <t>$/Unit</t>
  </si>
  <si>
    <t>TOTAL COSTS FOR ESTABLISHMENT (excluding harvest costs)</t>
  </si>
  <si>
    <t xml:space="preserve"> Amortization - Establishment Costs</t>
  </si>
  <si>
    <t>Ontario Ministry of Agriculture, Food and Rural Affairs Website</t>
  </si>
  <si>
    <t>End of worksheet</t>
  </si>
  <si>
    <t>No</t>
  </si>
  <si>
    <t>Plowing</t>
  </si>
  <si>
    <t xml:space="preserve">  Storage</t>
  </si>
  <si>
    <t>lbs</t>
  </si>
  <si>
    <t xml:space="preserve">  Bin/containers</t>
  </si>
  <si>
    <t xml:space="preserve"> Storage</t>
  </si>
  <si>
    <t>Crop Name</t>
  </si>
  <si>
    <t>PERENNIAL CROP ENTERPRISE BUDGET</t>
  </si>
  <si>
    <t xml:space="preserve">  Date revised:</t>
  </si>
  <si>
    <t>Production unit: eg. bu, tonnes, cwt, dozen</t>
  </si>
  <si>
    <t xml:space="preserve"> Fertilizer  </t>
  </si>
  <si>
    <t>N</t>
  </si>
  <si>
    <t>P</t>
  </si>
  <si>
    <t>K</t>
  </si>
  <si>
    <t>g</t>
  </si>
  <si>
    <t>tonnes</t>
  </si>
  <si>
    <t xml:space="preserve">  Insecticides</t>
  </si>
  <si>
    <t>times</t>
  </si>
  <si>
    <t>-</t>
  </si>
  <si>
    <t xml:space="preserve">  Bins/containers</t>
  </si>
  <si>
    <t xml:space="preserve"> New Seedlings/Trees (including support)</t>
  </si>
  <si>
    <t xml:space="preserve"> Manure</t>
  </si>
  <si>
    <t xml:space="preserve"> Irrigation</t>
  </si>
  <si>
    <t xml:space="preserve"> Crop scouting/Consulting Fees </t>
  </si>
  <si>
    <t xml:space="preserve">        (including utilities, professional fees, office, vehicle expenses etc.)</t>
  </si>
  <si>
    <t xml:space="preserve">         (including property taxes, insurance and equipment housing)</t>
  </si>
  <si>
    <t xml:space="preserve"> Packaging</t>
  </si>
  <si>
    <t xml:space="preserve">  Crop scouting/Consulting fees</t>
  </si>
  <si>
    <t xml:space="preserve"> Marketing and Transportation (% of sales)</t>
  </si>
  <si>
    <t>%</t>
  </si>
  <si>
    <t xml:space="preserve"> Frost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</si>
</sst>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 numFmtId="172" formatCode="&quot;$&quot;#,##0.00"/>
  </numFmts>
  <fonts count="18"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
      <b/>
      <sz val="12"/>
      <color rgb="FF0000FF"/>
      <name val="Arial"/>
      <family val="2"/>
    </font>
    <font>
      <b/>
      <sz val="12"/>
      <color indexed="81"/>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cellStyleXfs>
  <cellXfs count="159">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8" fillId="2" borderId="0" xfId="3" applyFont="1" applyFill="1" applyBorder="1"/>
    <xf numFmtId="0" fontId="8" fillId="2" borderId="5" xfId="0" applyFont="1" applyFill="1" applyBorder="1"/>
    <xf numFmtId="0" fontId="8" fillId="2" borderId="4" xfId="4" applyFont="1" applyFill="1" applyBorder="1" applyAlignment="1" applyProtection="1">
      <alignment horizontal="left"/>
    </xf>
    <xf numFmtId="0" fontId="8" fillId="2" borderId="0" xfId="4" applyFont="1" applyFill="1" applyBorder="1"/>
    <xf numFmtId="169" fontId="9" fillId="3" borderId="6" xfId="4"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168" fontId="8" fillId="2" borderId="5" xfId="0" applyNumberFormat="1" applyFont="1" applyFill="1" applyBorder="1" applyAlignment="1" applyProtection="1">
      <alignment horizontal="center"/>
    </xf>
    <xf numFmtId="10" fontId="8" fillId="2" borderId="0" xfId="0" applyNumberFormat="1" applyFont="1" applyFill="1" applyBorder="1" applyProtection="1"/>
    <xf numFmtId="167" fontId="9" fillId="3" borderId="6" xfId="0" applyNumberFormat="1" applyFont="1" applyFill="1" applyBorder="1" applyAlignment="1" applyProtection="1">
      <alignment horizontal="center"/>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0" xfId="0" applyFont="1" applyFill="1" applyBorder="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5" applyFont="1"/>
    <xf numFmtId="171" fontId="8" fillId="2" borderId="0" xfId="0" applyNumberFormat="1" applyFont="1" applyFill="1" applyBorder="1" applyAlignment="1" applyProtection="1">
      <alignment horizontal="center"/>
    </xf>
    <xf numFmtId="0" fontId="8" fillId="2" borderId="14" xfId="0" applyFont="1" applyFill="1" applyBorder="1"/>
    <xf numFmtId="0" fontId="8" fillId="2" borderId="15" xfId="0" applyFont="1" applyFill="1" applyBorder="1" applyAlignment="1" applyProtection="1">
      <alignment horizontal="left"/>
    </xf>
    <xf numFmtId="0" fontId="8" fillId="2" borderId="16" xfId="0" applyFont="1" applyFill="1" applyBorder="1"/>
    <xf numFmtId="166" fontId="8" fillId="2" borderId="16" xfId="0" applyNumberFormat="1" applyFont="1" applyFill="1" applyBorder="1" applyProtection="1"/>
    <xf numFmtId="168" fontId="8" fillId="2" borderId="16" xfId="0" applyNumberFormat="1" applyFont="1" applyFill="1" applyBorder="1" applyAlignment="1" applyProtection="1">
      <alignment horizontal="center"/>
    </xf>
    <xf numFmtId="168" fontId="8" fillId="2" borderId="17" xfId="0" applyNumberFormat="1" applyFont="1" applyFill="1" applyBorder="1" applyAlignment="1" applyProtection="1">
      <alignment horizontal="center"/>
    </xf>
    <xf numFmtId="0" fontId="8" fillId="2" borderId="18" xfId="0" applyFont="1" applyFill="1" applyBorder="1" applyAlignment="1" applyProtection="1">
      <alignment horizontal="left"/>
    </xf>
    <xf numFmtId="168" fontId="8" fillId="2" borderId="19" xfId="0" applyNumberFormat="1" applyFont="1" applyFill="1" applyBorder="1" applyAlignment="1" applyProtection="1">
      <alignment horizontal="center"/>
    </xf>
    <xf numFmtId="0" fontId="8" fillId="2" borderId="20" xfId="0" applyFont="1" applyFill="1" applyBorder="1" applyAlignment="1" applyProtection="1">
      <alignment horizontal="left"/>
    </xf>
    <xf numFmtId="166" fontId="8" fillId="2" borderId="14" xfId="0" applyNumberFormat="1" applyFont="1" applyFill="1" applyBorder="1" applyProtection="1"/>
    <xf numFmtId="165" fontId="8" fillId="2" borderId="14" xfId="0" applyNumberFormat="1" applyFont="1" applyFill="1" applyBorder="1" applyProtection="1"/>
    <xf numFmtId="0" fontId="8" fillId="2" borderId="21"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6" applyFont="1" applyFill="1" applyBorder="1" applyProtection="1"/>
    <xf numFmtId="0" fontId="1" fillId="4" borderId="0" xfId="6" applyFont="1" applyFill="1" applyBorder="1"/>
    <xf numFmtId="0" fontId="1" fillId="4" borderId="0" xfId="6" applyFont="1" applyFill="1" applyBorder="1" applyProtection="1"/>
    <xf numFmtId="166" fontId="1" fillId="4" borderId="0" xfId="6" applyNumberFormat="1" applyFont="1" applyFill="1" applyBorder="1" applyProtection="1"/>
    <xf numFmtId="171" fontId="8" fillId="2" borderId="5" xfId="0" applyNumberFormat="1" applyFont="1" applyFill="1" applyBorder="1" applyAlignment="1" applyProtection="1">
      <alignment horizontal="center"/>
    </xf>
    <xf numFmtId="0" fontId="9" fillId="7" borderId="13" xfId="4" applyFont="1" applyFill="1" applyBorder="1" applyAlignment="1" applyProtection="1">
      <protection locked="0"/>
    </xf>
    <xf numFmtId="0" fontId="9" fillId="7" borderId="9" xfId="0" applyFont="1" applyFill="1" applyBorder="1" applyAlignment="1" applyProtection="1">
      <protection locked="0"/>
    </xf>
    <xf numFmtId="0" fontId="9" fillId="7" borderId="22" xfId="0" applyFont="1" applyFill="1" applyBorder="1" applyAlignment="1" applyProtection="1">
      <protection locked="0"/>
    </xf>
    <xf numFmtId="0" fontId="9" fillId="3" borderId="6" xfId="4" applyFont="1" applyFill="1" applyBorder="1" applyAlignment="1" applyProtection="1">
      <alignment horizontal="center"/>
      <protection locked="0"/>
    </xf>
    <xf numFmtId="0" fontId="8" fillId="2" borderId="1" xfId="4" applyFont="1" applyFill="1" applyBorder="1" applyAlignment="1" applyProtection="1"/>
    <xf numFmtId="0" fontId="8" fillId="2" borderId="2" xfId="4" applyFont="1" applyFill="1" applyBorder="1" applyAlignment="1" applyProtection="1">
      <alignment horizontal="fill"/>
    </xf>
    <xf numFmtId="0" fontId="8" fillId="2" borderId="3" xfId="4" applyFont="1" applyFill="1" applyBorder="1" applyAlignment="1" applyProtection="1">
      <alignment horizontal="fill"/>
    </xf>
    <xf numFmtId="0" fontId="8" fillId="2" borderId="4" xfId="4" applyFont="1" applyFill="1" applyBorder="1" applyAlignment="1" applyProtection="1">
      <alignment horizontal="fill"/>
    </xf>
    <xf numFmtId="0" fontId="8" fillId="2" borderId="0" xfId="4" applyFont="1" applyFill="1" applyBorder="1" applyAlignment="1" applyProtection="1">
      <alignment horizontal="fill"/>
    </xf>
    <xf numFmtId="0" fontId="8" fillId="2" borderId="5" xfId="4" applyFont="1" applyFill="1" applyBorder="1" applyAlignment="1" applyProtection="1">
      <alignment horizontal="fill"/>
    </xf>
    <xf numFmtId="0" fontId="11" fillId="5" borderId="0" xfId="0" applyFont="1" applyFill="1" applyBorder="1" applyAlignment="1" applyProtection="1">
      <alignment horizontal="center"/>
    </xf>
    <xf numFmtId="0" fontId="9" fillId="7" borderId="13" xfId="0" applyFont="1" applyFill="1" applyBorder="1" applyAlignment="1" applyProtection="1">
      <alignment horizontal="left" indent="1"/>
      <protection locked="0"/>
    </xf>
    <xf numFmtId="0" fontId="9" fillId="7" borderId="9" xfId="0" applyFont="1" applyFill="1" applyBorder="1" applyProtection="1">
      <protection locked="0"/>
    </xf>
    <xf numFmtId="0" fontId="8" fillId="2" borderId="4" xfId="0" applyFont="1" applyFill="1" applyBorder="1" applyAlignment="1" applyProtection="1">
      <alignment horizontal="left"/>
      <protection locked="0"/>
    </xf>
    <xf numFmtId="0" fontId="9" fillId="3" borderId="6" xfId="0" applyFont="1" applyFill="1" applyBorder="1" applyAlignment="1" applyProtection="1">
      <alignment horizontal="right"/>
      <protection locked="0"/>
    </xf>
    <xf numFmtId="0" fontId="16" fillId="2" borderId="4" xfId="3" applyFont="1" applyFill="1" applyBorder="1" applyAlignment="1" applyProtection="1">
      <alignment horizontal="left"/>
      <protection locked="0"/>
    </xf>
    <xf numFmtId="0" fontId="16" fillId="2" borderId="4" xfId="0" applyFont="1" applyFill="1" applyBorder="1" applyAlignment="1" applyProtection="1">
      <alignment horizontal="left"/>
    </xf>
    <xf numFmtId="0" fontId="16" fillId="5" borderId="12" xfId="0" applyFont="1" applyFill="1" applyBorder="1" applyAlignment="1" applyProtection="1">
      <alignment horizontal="left"/>
      <protection locked="0"/>
    </xf>
    <xf numFmtId="0" fontId="16" fillId="5" borderId="4" xfId="0" applyFont="1" applyFill="1" applyBorder="1" applyAlignment="1" applyProtection="1">
      <alignment horizontal="left"/>
      <protection locked="0"/>
    </xf>
    <xf numFmtId="0" fontId="9" fillId="2" borderId="4" xfId="3" applyFont="1" applyFill="1" applyBorder="1" applyAlignment="1" applyProtection="1">
      <alignment horizontal="left"/>
      <protection locked="0"/>
    </xf>
    <xf numFmtId="0" fontId="8" fillId="2" borderId="4" xfId="4" applyFont="1" applyFill="1" applyBorder="1" applyAlignment="1" applyProtection="1">
      <alignment horizontal="left"/>
      <protection locked="0"/>
    </xf>
    <xf numFmtId="172" fontId="2" fillId="0" borderId="0" xfId="0" applyNumberFormat="1" applyFont="1"/>
    <xf numFmtId="170" fontId="9" fillId="3" borderId="6" xfId="0" applyNumberFormat="1" applyFont="1" applyFill="1" applyBorder="1" applyAlignment="1" applyProtection="1">
      <alignment horizontal="center"/>
      <protection locked="0"/>
    </xf>
  </cellXfs>
  <cellStyles count="7">
    <cellStyle name="Hyperlink" xfId="1" builtinId="8"/>
    <cellStyle name="Normal" xfId="0" builtinId="0"/>
    <cellStyle name="Normal_APPLE" xfId="2" xr:uid="{00000000-0005-0000-0000-000002000000}"/>
    <cellStyle name="Normal_Corn2" xfId="3" xr:uid="{00000000-0005-0000-0000-000003000000}"/>
    <cellStyle name="Normal_FrPeach" xfId="4" xr:uid="{00000000-0005-0000-0000-000004000000}"/>
    <cellStyle name="Normal_Oats" xfId="6" xr:uid="{E3AC663C-25FC-4C36-8079-F89A3F89E20E}"/>
    <cellStyle name="Normal_Raspc2" xfId="5"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3</xdr:row>
      <xdr:rowOff>17643</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44"/>
  <sheetViews>
    <sheetView showGridLines="0" tabSelected="1" topLeftCell="A93" zoomScaleNormal="100" zoomScaleSheetLayoutView="100" workbookViewId="0">
      <selection activeCell="A114" sqref="A114"/>
    </sheetView>
  </sheetViews>
  <sheetFormatPr defaultColWidth="11" defaultRowHeight="12" x14ac:dyDescent="0.2"/>
  <cols>
    <col min="1" max="1" width="18.5703125" style="2" customWidth="1"/>
    <col min="2" max="5" width="15.7109375" style="2" customWidth="1"/>
    <col min="6" max="6" width="18.5703125" style="2" customWidth="1"/>
    <col min="7" max="7" width="17.5703125" style="2" customWidth="1"/>
    <col min="8" max="8" width="17.85546875" style="2" customWidth="1"/>
    <col min="9" max="9" width="14.28515625" style="2" hidden="1" customWidth="1"/>
    <col min="10" max="26" width="9.140625" style="2" hidden="1" customWidth="1"/>
    <col min="27" max="27" width="9.140625" style="2" customWidth="1"/>
    <col min="28" max="40" width="11" style="2" customWidth="1"/>
    <col min="41" max="41" width="13.28515625" style="2" customWidth="1"/>
    <col min="42" max="49" width="8.7109375" style="2" customWidth="1"/>
    <col min="50" max="50" width="6.42578125" style="2" customWidth="1"/>
    <col min="51" max="240" width="11" style="2" customWidth="1"/>
    <col min="241" max="241" width="8.7109375" style="2" customWidth="1"/>
    <col min="242" max="242" width="3" style="2" customWidth="1"/>
    <col min="243" max="249" width="11" style="2" customWidth="1"/>
    <col min="250" max="250" width="8.7109375" style="2" customWidth="1"/>
    <col min="251" max="251" width="3" style="2" customWidth="1"/>
    <col min="252" max="16384" width="11" style="2"/>
  </cols>
  <sheetData>
    <row r="1" spans="1:27" s="112" customFormat="1" ht="15.75" x14ac:dyDescent="0.25">
      <c r="A1" s="113" t="s">
        <v>131</v>
      </c>
    </row>
    <row r="2" spans="1:27" ht="15.75" x14ac:dyDescent="0.25">
      <c r="A2" s="16"/>
      <c r="B2" s="17"/>
      <c r="C2" s="18" t="s">
        <v>150</v>
      </c>
      <c r="D2" s="17"/>
      <c r="E2" s="17"/>
      <c r="F2" s="17"/>
      <c r="G2" s="18" t="s">
        <v>151</v>
      </c>
      <c r="H2" s="139">
        <v>2020</v>
      </c>
      <c r="I2" s="1"/>
      <c r="J2" s="1"/>
      <c r="K2" s="1"/>
      <c r="L2" s="1"/>
      <c r="AA2" s="3">
        <f ca="1">E152</f>
        <v>-2154.9336074395369</v>
      </c>
    </row>
    <row r="3" spans="1:27" ht="15.75" x14ac:dyDescent="0.25">
      <c r="A3" s="34"/>
      <c r="B3" s="20"/>
      <c r="C3" s="136" t="s">
        <v>149</v>
      </c>
      <c r="D3" s="137"/>
      <c r="E3" s="138"/>
      <c r="F3" s="20"/>
      <c r="G3" s="22"/>
      <c r="H3" s="29"/>
      <c r="I3" s="1"/>
      <c r="J3" s="1"/>
      <c r="K3" s="1"/>
      <c r="L3" s="1"/>
      <c r="AA3" s="3"/>
    </row>
    <row r="4" spans="1:27" ht="22.5" customHeight="1" x14ac:dyDescent="0.25">
      <c r="A4" s="19">
        <v>801</v>
      </c>
      <c r="B4" s="20"/>
      <c r="C4" s="20"/>
      <c r="D4" s="21"/>
      <c r="E4" s="20"/>
      <c r="F4" s="22" t="s">
        <v>112</v>
      </c>
      <c r="G4" s="20"/>
      <c r="H4" s="135">
        <f ca="1">AA2</f>
        <v>-2154.9336074395369</v>
      </c>
      <c r="I4" s="1"/>
      <c r="J4" s="1"/>
      <c r="K4" s="1"/>
      <c r="L4" s="1"/>
      <c r="AA4" s="2">
        <f>C10*D5</f>
        <v>30</v>
      </c>
    </row>
    <row r="5" spans="1:27" ht="15" customHeight="1" x14ac:dyDescent="0.25">
      <c r="A5" s="24"/>
      <c r="B5" s="22" t="s">
        <v>0</v>
      </c>
      <c r="C5" s="20"/>
      <c r="D5" s="25">
        <v>10</v>
      </c>
      <c r="E5" s="20"/>
      <c r="F5" s="22"/>
      <c r="G5" s="20"/>
      <c r="H5" s="23"/>
      <c r="I5" s="1"/>
      <c r="J5" s="1"/>
      <c r="K5" s="1"/>
      <c r="L5" s="127" t="s">
        <v>1</v>
      </c>
      <c r="M5" s="128">
        <v>2205</v>
      </c>
      <c r="N5" s="129" t="s">
        <v>95</v>
      </c>
      <c r="AA5" s="2">
        <f>E10*D5</f>
        <v>20</v>
      </c>
    </row>
    <row r="6" spans="1:27" ht="15.75" x14ac:dyDescent="0.25">
      <c r="A6" s="26" t="s">
        <v>130</v>
      </c>
      <c r="B6" s="27"/>
      <c r="C6" s="27"/>
      <c r="D6" s="27"/>
      <c r="E6" s="27"/>
      <c r="F6" s="27"/>
      <c r="G6" s="27"/>
      <c r="H6" s="27"/>
      <c r="I6" s="1"/>
      <c r="J6" s="1"/>
      <c r="K6" s="1"/>
      <c r="L6" s="1"/>
      <c r="AA6" s="2">
        <f>G10*D5</f>
        <v>10</v>
      </c>
    </row>
    <row r="7" spans="1:27" ht="18.75" customHeight="1" x14ac:dyDescent="0.25">
      <c r="A7" s="140" t="s">
        <v>152</v>
      </c>
      <c r="B7" s="141"/>
      <c r="C7" s="141"/>
      <c r="D7" s="32" t="s">
        <v>158</v>
      </c>
      <c r="E7" s="141"/>
      <c r="F7" s="141"/>
      <c r="G7" s="141"/>
      <c r="H7" s="142"/>
      <c r="I7" s="1"/>
      <c r="J7" s="1"/>
      <c r="K7" s="1"/>
      <c r="L7" s="1"/>
      <c r="AA7" s="2">
        <f>E10*D16</f>
        <v>2.0000000000000001E-13</v>
      </c>
    </row>
    <row r="8" spans="1:27" ht="15.75" x14ac:dyDescent="0.25">
      <c r="A8" s="143"/>
      <c r="B8" s="144"/>
      <c r="C8" s="144"/>
      <c r="D8" s="144"/>
      <c r="E8" s="144"/>
      <c r="F8" s="144"/>
      <c r="G8" s="144"/>
      <c r="H8" s="145"/>
      <c r="I8" s="1"/>
      <c r="J8" s="1"/>
      <c r="K8" s="1"/>
      <c r="L8" s="1"/>
      <c r="AA8" s="2">
        <f>IF(D20&lt;0.0001,0.0001,IF(D20&gt;1,1,D20))</f>
        <v>2.2758086027466696E-2</v>
      </c>
    </row>
    <row r="9" spans="1:27" ht="15.75" x14ac:dyDescent="0.25">
      <c r="A9" s="24"/>
      <c r="B9" s="20"/>
      <c r="C9" s="146" t="s">
        <v>114</v>
      </c>
      <c r="D9" s="28"/>
      <c r="E9" s="146" t="s">
        <v>115</v>
      </c>
      <c r="F9" s="28"/>
      <c r="G9" s="146" t="s">
        <v>116</v>
      </c>
      <c r="H9" s="29"/>
      <c r="I9" s="1"/>
      <c r="J9" s="1"/>
      <c r="K9" s="1"/>
      <c r="L9" s="1"/>
      <c r="AA9" s="3">
        <f>F146</f>
        <v>0</v>
      </c>
    </row>
    <row r="10" spans="1:27" ht="15.75" x14ac:dyDescent="0.25">
      <c r="A10" s="30" t="str">
        <f>"Yield - "&amp;D7</f>
        <v>Yield - tonnes</v>
      </c>
      <c r="B10" s="31"/>
      <c r="C10" s="32">
        <v>3</v>
      </c>
      <c r="D10" s="31"/>
      <c r="E10" s="32">
        <v>2</v>
      </c>
      <c r="F10" s="31"/>
      <c r="G10" s="32">
        <v>1</v>
      </c>
      <c r="H10" s="29"/>
      <c r="I10" s="1"/>
      <c r="J10" s="1"/>
      <c r="K10" s="1"/>
      <c r="L10" s="1"/>
      <c r="AA10" s="2">
        <f>E11*(D20*(D17-E10)+((C10-G10)/2)*EXP(-0.5*((D17-E10)/((C10-G10)/2))^2)/SQRT(2*PI()))</f>
        <v>1.6949588916561648E-2</v>
      </c>
    </row>
    <row r="11" spans="1:27" ht="15.75" x14ac:dyDescent="0.25">
      <c r="A11" s="30" t="str">
        <f>"Price - $/"&amp;D7</f>
        <v>Price - $/tonnes</v>
      </c>
      <c r="B11" s="31"/>
      <c r="C11" s="33">
        <v>3</v>
      </c>
      <c r="D11" s="31"/>
      <c r="E11" s="33">
        <v>2</v>
      </c>
      <c r="F11" s="31"/>
      <c r="G11" s="33">
        <v>1</v>
      </c>
      <c r="H11" s="29"/>
      <c r="I11" s="1"/>
      <c r="J11" s="1"/>
      <c r="K11" s="1"/>
      <c r="L11" s="1"/>
      <c r="AA11" s="3">
        <f ca="1">H130</f>
        <v>15388.95</v>
      </c>
    </row>
    <row r="12" spans="1:27" ht="15.75" x14ac:dyDescent="0.25">
      <c r="A12" s="30" t="str">
        <f>"Production- "&amp;D7</f>
        <v>Production- tonnes</v>
      </c>
      <c r="B12" s="20"/>
      <c r="C12" s="35">
        <f>AA4</f>
        <v>30</v>
      </c>
      <c r="D12" s="20"/>
      <c r="E12" s="35">
        <f>AA5</f>
        <v>20</v>
      </c>
      <c r="F12" s="20"/>
      <c r="G12" s="35">
        <f>AA6</f>
        <v>10</v>
      </c>
      <c r="H12" s="29"/>
      <c r="I12" s="1"/>
      <c r="J12" s="1"/>
      <c r="K12" s="1"/>
      <c r="L12" s="1"/>
      <c r="AA12" s="2">
        <f>(EXP(-0.5*((E10-D17)/((C10-G10)/2))^2)/SQRT(2*PI()))*(0.43618*(K34^(-1))-0.1202*(K34^(-2))+0.9373*(K34^(-3)))</f>
        <v>2.2758086027466696E-2</v>
      </c>
    </row>
    <row r="13" spans="1:27" ht="15.75" x14ac:dyDescent="0.25">
      <c r="A13" s="27"/>
      <c r="B13" s="27"/>
      <c r="C13" s="27"/>
      <c r="D13" s="27"/>
      <c r="E13" s="27"/>
      <c r="F13" s="27"/>
      <c r="G13" s="27"/>
      <c r="H13" s="27"/>
      <c r="I13" s="1"/>
      <c r="J13" s="1"/>
      <c r="K13" s="1"/>
      <c r="L13" s="1"/>
      <c r="AA13" s="3">
        <f ca="1">H142</f>
        <v>6200.3860743953692</v>
      </c>
    </row>
    <row r="14" spans="1:27" ht="15.75" x14ac:dyDescent="0.25">
      <c r="A14" s="34" t="s">
        <v>132</v>
      </c>
      <c r="B14" s="20"/>
      <c r="C14" s="20"/>
      <c r="D14" s="20"/>
      <c r="E14" s="20"/>
      <c r="F14" s="20"/>
      <c r="G14" s="20"/>
      <c r="H14" s="29"/>
      <c r="I14" s="1"/>
      <c r="J14" s="1"/>
      <c r="K14" s="1"/>
      <c r="L14" s="1"/>
      <c r="AA14" s="3">
        <f>F145</f>
        <v>40</v>
      </c>
    </row>
    <row r="15" spans="1:27" ht="15.75" x14ac:dyDescent="0.25">
      <c r="A15" s="34" t="s">
        <v>133</v>
      </c>
      <c r="B15" s="20"/>
      <c r="C15" s="36"/>
      <c r="D15" s="37">
        <v>9.9999999999999998E-17</v>
      </c>
      <c r="E15" s="22" t="s">
        <v>3</v>
      </c>
      <c r="F15" s="38"/>
      <c r="G15" s="36"/>
      <c r="H15" s="39">
        <v>25</v>
      </c>
      <c r="I15" s="1"/>
      <c r="J15" s="1"/>
      <c r="K15" s="1"/>
      <c r="L15" s="1"/>
      <c r="AA15" s="2">
        <f>D5*I157</f>
        <v>30</v>
      </c>
    </row>
    <row r="16" spans="1:27" ht="15.75" x14ac:dyDescent="0.25">
      <c r="A16" s="34" t="s">
        <v>4</v>
      </c>
      <c r="B16" s="20"/>
      <c r="C16" s="36"/>
      <c r="D16" s="40">
        <v>1E-13</v>
      </c>
      <c r="E16" s="22" t="s">
        <v>5</v>
      </c>
      <c r="F16" s="38"/>
      <c r="G16" s="41"/>
      <c r="H16" s="42">
        <v>0.05</v>
      </c>
      <c r="I16" s="1"/>
      <c r="J16" s="1"/>
      <c r="K16" s="4">
        <f>AA9</f>
        <v>0</v>
      </c>
      <c r="L16" s="1"/>
      <c r="AA16" s="2">
        <f>D5*E10/M5</f>
        <v>9.0702947845804991E-3</v>
      </c>
    </row>
    <row r="17" spans="1:28" ht="15.75" x14ac:dyDescent="0.25">
      <c r="A17" s="34" t="s">
        <v>6</v>
      </c>
      <c r="B17" s="20"/>
      <c r="C17" s="20"/>
      <c r="D17" s="43">
        <f>AA7</f>
        <v>2.0000000000000001E-13</v>
      </c>
      <c r="E17" s="22" t="s">
        <v>7</v>
      </c>
      <c r="F17" s="38"/>
      <c r="G17" s="20"/>
      <c r="H17" s="42">
        <v>0.02</v>
      </c>
      <c r="I17" s="1"/>
      <c r="J17" s="1"/>
      <c r="K17" s="4">
        <f ca="1">AA11</f>
        <v>15388.95</v>
      </c>
      <c r="L17" s="1"/>
      <c r="AA17" s="2">
        <f>E11*M5</f>
        <v>4410</v>
      </c>
    </row>
    <row r="18" spans="1:28" ht="15.75" x14ac:dyDescent="0.25">
      <c r="A18" s="34" t="s">
        <v>8</v>
      </c>
      <c r="B18" s="20"/>
      <c r="C18" s="20"/>
      <c r="D18" s="44">
        <f>AA8</f>
        <v>2.2758086027466696E-2</v>
      </c>
      <c r="E18" s="20"/>
      <c r="F18" s="38"/>
      <c r="G18" s="20"/>
      <c r="H18" s="45"/>
      <c r="I18" s="1"/>
      <c r="J18" s="1"/>
      <c r="K18" s="4">
        <f ca="1">AA13</f>
        <v>6200.3860743953692</v>
      </c>
      <c r="L18" s="1"/>
      <c r="AA18" s="2">
        <f>E26*F26</f>
        <v>0</v>
      </c>
    </row>
    <row r="19" spans="1:28" ht="15.75" x14ac:dyDescent="0.25">
      <c r="A19" s="34" t="s">
        <v>9</v>
      </c>
      <c r="B19" s="20"/>
      <c r="C19" s="20"/>
      <c r="D19" s="46">
        <f>AA10</f>
        <v>1.6949588916561648E-2</v>
      </c>
      <c r="E19" s="20" t="s">
        <v>120</v>
      </c>
      <c r="F19" s="20"/>
      <c r="G19" s="20"/>
      <c r="H19" s="47">
        <v>7</v>
      </c>
      <c r="I19" s="1"/>
      <c r="J19" s="1"/>
      <c r="K19" s="4">
        <f>AA14</f>
        <v>40</v>
      </c>
      <c r="L19" s="1"/>
      <c r="AA19" s="2">
        <f>G26*D5</f>
        <v>0</v>
      </c>
    </row>
    <row r="20" spans="1:28" ht="15.75" x14ac:dyDescent="0.25">
      <c r="A20" s="34"/>
      <c r="B20" s="20"/>
      <c r="C20" s="20"/>
      <c r="D20" s="48">
        <f>AA12</f>
        <v>2.2758086027466696E-2</v>
      </c>
      <c r="E20" s="20"/>
      <c r="F20" s="20"/>
      <c r="G20" s="49"/>
      <c r="H20" s="50"/>
      <c r="I20" s="1"/>
      <c r="J20" s="1"/>
      <c r="K20" s="5">
        <f>AA15</f>
        <v>30</v>
      </c>
      <c r="L20" s="1"/>
      <c r="AA20" s="2">
        <f>D5</f>
        <v>10</v>
      </c>
    </row>
    <row r="21" spans="1:28" ht="15.75" x14ac:dyDescent="0.25">
      <c r="A21" s="34" t="s">
        <v>134</v>
      </c>
      <c r="B21" s="20"/>
      <c r="C21" s="20"/>
      <c r="D21" s="51" t="s">
        <v>143</v>
      </c>
      <c r="E21" s="20"/>
      <c r="F21" s="20"/>
      <c r="G21" s="20"/>
      <c r="H21" s="52"/>
      <c r="I21" s="1"/>
      <c r="J21" s="1"/>
      <c r="K21" s="5">
        <f>AA16</f>
        <v>9.0702947845804991E-3</v>
      </c>
      <c r="L21" s="1"/>
      <c r="AA21" s="2">
        <f>E27*F27</f>
        <v>0</v>
      </c>
    </row>
    <row r="22" spans="1:28" ht="15.75" x14ac:dyDescent="0.25">
      <c r="A22" s="27"/>
      <c r="B22" s="27"/>
      <c r="C22" s="27"/>
      <c r="D22" s="27"/>
      <c r="E22" s="27"/>
      <c r="F22" s="27"/>
      <c r="G22" s="27"/>
      <c r="H22" s="27"/>
      <c r="I22" s="1"/>
      <c r="J22" s="1"/>
      <c r="K22" s="5">
        <f>AA17</f>
        <v>4410</v>
      </c>
      <c r="L22" s="1"/>
      <c r="AA22" s="2">
        <f>G27*D5</f>
        <v>0</v>
      </c>
    </row>
    <row r="23" spans="1:28" ht="15.75" x14ac:dyDescent="0.25">
      <c r="A23" s="16" t="s">
        <v>10</v>
      </c>
      <c r="B23" s="20"/>
      <c r="C23" s="20"/>
      <c r="D23" s="53" t="s">
        <v>11</v>
      </c>
      <c r="E23" s="53" t="s">
        <v>12</v>
      </c>
      <c r="F23" s="53" t="s">
        <v>13</v>
      </c>
      <c r="G23" s="53" t="s">
        <v>14</v>
      </c>
      <c r="H23" s="54" t="s">
        <v>117</v>
      </c>
      <c r="I23" s="1"/>
      <c r="J23" s="1"/>
      <c r="K23" s="6" t="s">
        <v>16</v>
      </c>
      <c r="L23" s="1"/>
      <c r="AA23" s="2">
        <f>E28*F28</f>
        <v>0</v>
      </c>
    </row>
    <row r="24" spans="1:28" ht="15.75" x14ac:dyDescent="0.25">
      <c r="A24" s="55"/>
      <c r="B24" s="56"/>
      <c r="C24" s="56"/>
      <c r="D24" s="53"/>
      <c r="E24" s="53"/>
      <c r="F24" s="53"/>
      <c r="G24" s="53"/>
      <c r="H24" s="57"/>
      <c r="I24" s="1"/>
      <c r="J24" s="1"/>
      <c r="K24" s="5">
        <f>AA20</f>
        <v>10</v>
      </c>
      <c r="L24" s="1"/>
      <c r="AA24" s="2">
        <f>G28*D5</f>
        <v>0</v>
      </c>
    </row>
    <row r="25" spans="1:28" ht="15.75" x14ac:dyDescent="0.25">
      <c r="A25" s="34" t="s">
        <v>121</v>
      </c>
      <c r="B25" s="20"/>
      <c r="C25" s="58"/>
      <c r="D25" s="20"/>
      <c r="E25" s="20"/>
      <c r="F25" s="20"/>
      <c r="G25" s="20"/>
      <c r="H25" s="29"/>
      <c r="I25" s="1"/>
      <c r="J25" s="1"/>
      <c r="K25" s="7">
        <v>0</v>
      </c>
      <c r="L25" s="1"/>
      <c r="AA25" s="2">
        <f>SUM(H88:H92)</f>
        <v>460</v>
      </c>
    </row>
    <row r="26" spans="1:28" ht="15.75" x14ac:dyDescent="0.25">
      <c r="A26" s="152" t="s">
        <v>163</v>
      </c>
      <c r="B26" s="20"/>
      <c r="C26" s="20"/>
      <c r="D26" s="150" t="s">
        <v>146</v>
      </c>
      <c r="E26" s="39">
        <v>0</v>
      </c>
      <c r="F26" s="37">
        <v>0</v>
      </c>
      <c r="G26" s="35">
        <f>AA18</f>
        <v>0</v>
      </c>
      <c r="H26" s="59">
        <f>AA19</f>
        <v>0</v>
      </c>
      <c r="I26" s="1"/>
      <c r="J26" s="1"/>
      <c r="K26" s="5">
        <f>AA25</f>
        <v>460</v>
      </c>
      <c r="L26" s="1"/>
      <c r="AA26" s="2">
        <f>E29*F29</f>
        <v>0</v>
      </c>
    </row>
    <row r="27" spans="1:28" ht="15.75" x14ac:dyDescent="0.25">
      <c r="A27" s="152" t="s">
        <v>123</v>
      </c>
      <c r="B27" s="20"/>
      <c r="C27" s="20"/>
      <c r="D27" s="150" t="s">
        <v>157</v>
      </c>
      <c r="E27" s="39">
        <v>0</v>
      </c>
      <c r="F27" s="37">
        <v>0</v>
      </c>
      <c r="G27" s="35">
        <f>AA21</f>
        <v>0</v>
      </c>
      <c r="H27" s="59">
        <f>AA22</f>
        <v>0</v>
      </c>
      <c r="I27" s="1"/>
      <c r="J27" s="1"/>
      <c r="K27" s="5">
        <f>AA28</f>
        <v>4620</v>
      </c>
      <c r="L27" s="1"/>
      <c r="AA27" s="2">
        <f>G29*D5</f>
        <v>0</v>
      </c>
    </row>
    <row r="28" spans="1:28" ht="15.75" x14ac:dyDescent="0.25">
      <c r="A28" s="152" t="s">
        <v>18</v>
      </c>
      <c r="B28" s="20"/>
      <c r="C28" s="20"/>
      <c r="D28" s="150" t="s">
        <v>26</v>
      </c>
      <c r="E28" s="39">
        <v>0</v>
      </c>
      <c r="F28" s="37">
        <v>0</v>
      </c>
      <c r="G28" s="35">
        <f>AA23</f>
        <v>0</v>
      </c>
      <c r="H28" s="59">
        <f>AA24</f>
        <v>0</v>
      </c>
      <c r="I28" s="1"/>
      <c r="J28" s="1"/>
      <c r="K28" s="4">
        <f ca="1">AA31</f>
        <v>27407.9</v>
      </c>
      <c r="L28" s="1"/>
      <c r="AA28" s="2">
        <f>SUM(H93:H102)</f>
        <v>4620</v>
      </c>
    </row>
    <row r="29" spans="1:28" ht="15.75" x14ac:dyDescent="0.25">
      <c r="A29" s="152" t="s">
        <v>132</v>
      </c>
      <c r="B29" s="20"/>
      <c r="C29" s="20"/>
      <c r="D29" s="150" t="s">
        <v>26</v>
      </c>
      <c r="E29" s="39">
        <v>0</v>
      </c>
      <c r="F29" s="37">
        <v>0</v>
      </c>
      <c r="G29" s="35">
        <f>AA26</f>
        <v>0</v>
      </c>
      <c r="H29" s="59">
        <f>AA27</f>
        <v>0</v>
      </c>
      <c r="I29" s="1"/>
      <c r="J29" s="1"/>
      <c r="K29" s="4">
        <f>AA34</f>
        <v>480</v>
      </c>
      <c r="L29" s="1"/>
      <c r="AA29" s="2">
        <f>E30*F30</f>
        <v>0</v>
      </c>
    </row>
    <row r="30" spans="1:28" ht="15.75" x14ac:dyDescent="0.25">
      <c r="A30" s="152" t="s">
        <v>122</v>
      </c>
      <c r="B30" s="20"/>
      <c r="C30" s="36"/>
      <c r="D30" s="150" t="s">
        <v>26</v>
      </c>
      <c r="E30" s="39">
        <v>0</v>
      </c>
      <c r="F30" s="37">
        <v>0</v>
      </c>
      <c r="G30" s="35">
        <f>AA29</f>
        <v>0</v>
      </c>
      <c r="H30" s="59">
        <f>AA30</f>
        <v>0</v>
      </c>
      <c r="I30" s="1"/>
      <c r="J30" s="1"/>
      <c r="K30" s="8">
        <f>AA37</f>
        <v>0</v>
      </c>
      <c r="L30" s="1"/>
      <c r="AA30" s="2">
        <f>G30*D5</f>
        <v>0</v>
      </c>
      <c r="AB30" s="14"/>
    </row>
    <row r="31" spans="1:28" ht="15.75" x14ac:dyDescent="0.25">
      <c r="A31" s="153" t="s">
        <v>166</v>
      </c>
      <c r="B31" s="20"/>
      <c r="C31" s="36"/>
      <c r="D31" s="150" t="s">
        <v>26</v>
      </c>
      <c r="E31" s="39">
        <v>0</v>
      </c>
      <c r="F31" s="37">
        <v>0</v>
      </c>
      <c r="G31" s="35">
        <f>AA35</f>
        <v>0</v>
      </c>
      <c r="H31" s="59">
        <f>AA36</f>
        <v>0</v>
      </c>
      <c r="I31" s="1"/>
      <c r="J31" s="1"/>
      <c r="K31" s="1"/>
      <c r="L31" s="1"/>
      <c r="AA31" s="3">
        <f ca="1">SUM(H85:H87,H106:H137,H117:H118)-H110-H111</f>
        <v>27407.9</v>
      </c>
    </row>
    <row r="32" spans="1:28" ht="15.75" x14ac:dyDescent="0.25">
      <c r="A32" s="153" t="s">
        <v>19</v>
      </c>
      <c r="B32" s="20"/>
      <c r="C32" s="36"/>
      <c r="D32" s="150" t="s">
        <v>26</v>
      </c>
      <c r="E32" s="39">
        <v>0</v>
      </c>
      <c r="F32" s="37">
        <v>0</v>
      </c>
      <c r="G32" s="35">
        <f>AA38</f>
        <v>0</v>
      </c>
      <c r="H32" s="59">
        <f>AA39</f>
        <v>0</v>
      </c>
      <c r="I32" s="1"/>
      <c r="J32" s="1"/>
      <c r="K32" s="1"/>
      <c r="L32" s="1"/>
    </row>
    <row r="33" spans="1:27" ht="15.75" x14ac:dyDescent="0.25">
      <c r="A33" s="152" t="s">
        <v>96</v>
      </c>
      <c r="B33" s="60"/>
      <c r="C33" s="20"/>
      <c r="D33" s="150" t="s">
        <v>20</v>
      </c>
      <c r="E33" s="39">
        <v>0</v>
      </c>
      <c r="F33" s="37">
        <v>0</v>
      </c>
      <c r="G33" s="35">
        <f>AA44</f>
        <v>0</v>
      </c>
      <c r="H33" s="59">
        <f>AA49</f>
        <v>0</v>
      </c>
      <c r="I33" s="1"/>
      <c r="J33" s="6" t="s">
        <v>21</v>
      </c>
      <c r="K33" s="6" t="s">
        <v>22</v>
      </c>
      <c r="L33" s="1"/>
    </row>
    <row r="34" spans="1:27" ht="15.75" x14ac:dyDescent="0.25">
      <c r="A34" s="152" t="s">
        <v>97</v>
      </c>
      <c r="B34" s="20"/>
      <c r="C34" s="20"/>
      <c r="D34" s="150" t="s">
        <v>20</v>
      </c>
      <c r="E34" s="39">
        <v>0</v>
      </c>
      <c r="F34" s="37">
        <v>0</v>
      </c>
      <c r="G34" s="35">
        <f>AA58</f>
        <v>0</v>
      </c>
      <c r="H34" s="59">
        <f>AA59</f>
        <v>0</v>
      </c>
      <c r="I34" s="1"/>
      <c r="J34" s="6" t="s">
        <v>23</v>
      </c>
      <c r="K34" s="5">
        <f>AA60</f>
        <v>1.6653399999999334</v>
      </c>
      <c r="L34" s="1"/>
      <c r="AA34" s="3">
        <f>H110+H111</f>
        <v>480</v>
      </c>
    </row>
    <row r="35" spans="1:27" ht="15.75" x14ac:dyDescent="0.25">
      <c r="A35" s="152"/>
      <c r="B35" s="20"/>
      <c r="C35" s="20"/>
      <c r="D35" s="20"/>
      <c r="E35" s="20"/>
      <c r="F35" s="20"/>
      <c r="G35" s="20"/>
      <c r="H35" s="29"/>
      <c r="I35" s="1"/>
      <c r="J35" s="1"/>
      <c r="K35" s="9">
        <f>AA61</f>
        <v>0</v>
      </c>
      <c r="L35" s="1"/>
      <c r="AA35" s="2">
        <f>E31*F31</f>
        <v>0</v>
      </c>
    </row>
    <row r="36" spans="1:27" ht="15.75" x14ac:dyDescent="0.25">
      <c r="A36" s="151" t="s">
        <v>153</v>
      </c>
      <c r="B36" s="147" t="s">
        <v>154</v>
      </c>
      <c r="C36" s="148"/>
      <c r="D36" s="150" t="s">
        <v>124</v>
      </c>
      <c r="E36" s="39">
        <v>0</v>
      </c>
      <c r="F36" s="61">
        <v>0</v>
      </c>
      <c r="G36" s="35">
        <f>AA62</f>
        <v>0</v>
      </c>
      <c r="H36" s="59">
        <f>AA63</f>
        <v>0</v>
      </c>
      <c r="I36" s="1"/>
      <c r="J36" s="1"/>
      <c r="K36" s="9">
        <f>AA64</f>
        <v>0</v>
      </c>
      <c r="L36" s="1"/>
      <c r="AA36" s="2">
        <f>G31*D5</f>
        <v>0</v>
      </c>
    </row>
    <row r="37" spans="1:27" ht="15.75" x14ac:dyDescent="0.25">
      <c r="A37" s="149"/>
      <c r="B37" s="147" t="s">
        <v>155</v>
      </c>
      <c r="C37" s="148"/>
      <c r="D37" s="150" t="s">
        <v>124</v>
      </c>
      <c r="E37" s="39">
        <v>0</v>
      </c>
      <c r="F37" s="61">
        <v>0</v>
      </c>
      <c r="G37" s="35">
        <f>AA65</f>
        <v>0</v>
      </c>
      <c r="H37" s="59">
        <f>AA66</f>
        <v>0</v>
      </c>
      <c r="I37" s="1"/>
      <c r="J37" s="1"/>
      <c r="K37" s="1"/>
      <c r="L37" s="1"/>
      <c r="AA37" s="10">
        <f>SUM(H114:H116)</f>
        <v>0</v>
      </c>
    </row>
    <row r="38" spans="1:27" ht="15.75" x14ac:dyDescent="0.25">
      <c r="A38" s="149"/>
      <c r="B38" s="147" t="s">
        <v>156</v>
      </c>
      <c r="C38" s="148"/>
      <c r="D38" s="150" t="s">
        <v>124</v>
      </c>
      <c r="E38" s="39">
        <v>0</v>
      </c>
      <c r="F38" s="61">
        <v>0</v>
      </c>
      <c r="G38" s="35">
        <f>AA67</f>
        <v>0</v>
      </c>
      <c r="H38" s="59">
        <f>AA68</f>
        <v>0</v>
      </c>
      <c r="I38" s="1"/>
      <c r="J38" s="1"/>
      <c r="K38" s="1"/>
      <c r="L38" s="1"/>
      <c r="AA38" s="2">
        <f>E32*F32</f>
        <v>0</v>
      </c>
    </row>
    <row r="39" spans="1:27" ht="15.75" x14ac:dyDescent="0.25">
      <c r="A39" s="152" t="s">
        <v>159</v>
      </c>
      <c r="B39" s="147" t="s">
        <v>161</v>
      </c>
      <c r="C39" s="148"/>
      <c r="D39" s="150" t="s">
        <v>160</v>
      </c>
      <c r="E39" s="39">
        <v>0</v>
      </c>
      <c r="F39" s="37">
        <v>0</v>
      </c>
      <c r="G39" s="35">
        <f>AA69</f>
        <v>0</v>
      </c>
      <c r="H39" s="59">
        <f>AA70</f>
        <v>0</v>
      </c>
      <c r="I39" s="1"/>
      <c r="J39" s="1"/>
      <c r="K39" s="1"/>
      <c r="L39" s="1"/>
      <c r="AA39" s="2">
        <f>G32*D5</f>
        <v>0</v>
      </c>
    </row>
    <row r="40" spans="1:27" ht="15.75" x14ac:dyDescent="0.25">
      <c r="A40" s="152"/>
      <c r="B40" s="147" t="s">
        <v>161</v>
      </c>
      <c r="C40" s="148"/>
      <c r="D40" s="150" t="s">
        <v>160</v>
      </c>
      <c r="E40" s="39">
        <v>10</v>
      </c>
      <c r="F40" s="37">
        <v>200</v>
      </c>
      <c r="G40" s="35">
        <f>AA40</f>
        <v>2000</v>
      </c>
      <c r="H40" s="59">
        <f>AA41</f>
        <v>20000</v>
      </c>
      <c r="I40" s="1"/>
      <c r="J40" s="1"/>
      <c r="K40" s="1"/>
      <c r="L40" s="1"/>
      <c r="AA40" s="2">
        <f>E40*F40</f>
        <v>2000</v>
      </c>
    </row>
    <row r="41" spans="1:27" ht="15.75" x14ac:dyDescent="0.25">
      <c r="A41" s="152"/>
      <c r="B41" s="147" t="s">
        <v>161</v>
      </c>
      <c r="C41" s="148"/>
      <c r="D41" s="150" t="s">
        <v>160</v>
      </c>
      <c r="E41" s="39">
        <v>20</v>
      </c>
      <c r="F41" s="37">
        <v>10</v>
      </c>
      <c r="G41" s="35">
        <f>AA42</f>
        <v>200</v>
      </c>
      <c r="H41" s="59">
        <f>AA43</f>
        <v>2000</v>
      </c>
      <c r="I41" s="1"/>
      <c r="J41" s="1"/>
      <c r="K41" s="1"/>
      <c r="L41" s="1"/>
      <c r="AA41" s="2">
        <f>G40*D5</f>
        <v>20000</v>
      </c>
    </row>
    <row r="42" spans="1:27" ht="15.75" x14ac:dyDescent="0.25">
      <c r="A42" s="152" t="s">
        <v>24</v>
      </c>
      <c r="B42" s="147" t="s">
        <v>161</v>
      </c>
      <c r="C42" s="148"/>
      <c r="D42" s="150" t="s">
        <v>160</v>
      </c>
      <c r="E42" s="39">
        <v>1</v>
      </c>
      <c r="F42" s="37">
        <v>20</v>
      </c>
      <c r="G42" s="35">
        <f>AA71</f>
        <v>20</v>
      </c>
      <c r="H42" s="59">
        <f>AA72</f>
        <v>200</v>
      </c>
      <c r="I42" s="1"/>
      <c r="J42" s="1"/>
      <c r="K42" s="1"/>
      <c r="L42" s="1"/>
      <c r="AA42" s="2">
        <f>E41*F41</f>
        <v>200</v>
      </c>
    </row>
    <row r="43" spans="1:27" ht="15.75" x14ac:dyDescent="0.25">
      <c r="A43" s="152"/>
      <c r="B43" s="147" t="s">
        <v>161</v>
      </c>
      <c r="C43" s="148"/>
      <c r="D43" s="150" t="s">
        <v>160</v>
      </c>
      <c r="E43" s="39">
        <v>10</v>
      </c>
      <c r="F43" s="37">
        <v>100</v>
      </c>
      <c r="G43" s="35">
        <f>AA45</f>
        <v>1000</v>
      </c>
      <c r="H43" s="59">
        <f>AA46</f>
        <v>10000</v>
      </c>
      <c r="I43" s="1"/>
      <c r="J43" s="1"/>
      <c r="K43" s="1"/>
      <c r="L43" s="1"/>
      <c r="AA43" s="2">
        <f>G41*D5</f>
        <v>2000</v>
      </c>
    </row>
    <row r="44" spans="1:27" ht="15.75" x14ac:dyDescent="0.25">
      <c r="A44" s="152"/>
      <c r="B44" s="147" t="s">
        <v>161</v>
      </c>
      <c r="C44" s="148"/>
      <c r="D44" s="150" t="s">
        <v>160</v>
      </c>
      <c r="E44" s="39">
        <v>10</v>
      </c>
      <c r="F44" s="37">
        <v>300</v>
      </c>
      <c r="G44" s="35">
        <f>AA47</f>
        <v>3000</v>
      </c>
      <c r="H44" s="59">
        <f>AA48</f>
        <v>30000</v>
      </c>
      <c r="I44" s="1"/>
      <c r="J44" s="1"/>
      <c r="K44" s="1"/>
      <c r="L44" s="1"/>
      <c r="AA44" s="2">
        <f>E33*F33</f>
        <v>0</v>
      </c>
    </row>
    <row r="45" spans="1:27" ht="15.75" x14ac:dyDescent="0.25">
      <c r="A45" s="152" t="s">
        <v>25</v>
      </c>
      <c r="B45" s="147" t="s">
        <v>161</v>
      </c>
      <c r="C45" s="148"/>
      <c r="D45" s="150" t="s">
        <v>160</v>
      </c>
      <c r="E45" s="39">
        <v>0</v>
      </c>
      <c r="F45" s="37">
        <v>0</v>
      </c>
      <c r="G45" s="35">
        <f>AA75</f>
        <v>0</v>
      </c>
      <c r="H45" s="59">
        <f>AA76</f>
        <v>0</v>
      </c>
      <c r="I45" s="1"/>
      <c r="J45" s="1"/>
      <c r="K45" s="1"/>
      <c r="L45" s="1"/>
      <c r="AA45" s="2">
        <f>E43*F43</f>
        <v>1000</v>
      </c>
    </row>
    <row r="46" spans="1:27" ht="15.75" x14ac:dyDescent="0.25">
      <c r="A46" s="152"/>
      <c r="B46" s="147" t="s">
        <v>161</v>
      </c>
      <c r="C46" s="148"/>
      <c r="D46" s="150" t="s">
        <v>160</v>
      </c>
      <c r="E46" s="39"/>
      <c r="F46" s="37"/>
      <c r="G46" s="35">
        <f>AA50</f>
        <v>0</v>
      </c>
      <c r="H46" s="59">
        <f>AA51</f>
        <v>0</v>
      </c>
      <c r="I46" s="1"/>
      <c r="J46" s="1"/>
      <c r="K46" s="1"/>
      <c r="L46" s="1"/>
      <c r="AA46" s="2">
        <f>G43*D5</f>
        <v>10000</v>
      </c>
    </row>
    <row r="47" spans="1:27" ht="15.75" x14ac:dyDescent="0.25">
      <c r="A47" s="152"/>
      <c r="B47" s="147" t="s">
        <v>161</v>
      </c>
      <c r="C47" s="148"/>
      <c r="D47" s="150" t="s">
        <v>160</v>
      </c>
      <c r="E47" s="39"/>
      <c r="F47" s="37"/>
      <c r="G47" s="35">
        <f>AA52</f>
        <v>0</v>
      </c>
      <c r="H47" s="59">
        <f>AA53</f>
        <v>0</v>
      </c>
      <c r="I47" s="1"/>
      <c r="J47" s="1"/>
      <c r="K47" s="1"/>
      <c r="L47" s="1"/>
      <c r="AA47" s="2">
        <f>E44*F44</f>
        <v>3000</v>
      </c>
    </row>
    <row r="48" spans="1:27" ht="15.75" x14ac:dyDescent="0.25">
      <c r="A48" s="152" t="s">
        <v>162</v>
      </c>
      <c r="B48" s="20"/>
      <c r="C48" s="20"/>
      <c r="D48" s="150" t="s">
        <v>26</v>
      </c>
      <c r="E48" s="39">
        <v>0</v>
      </c>
      <c r="F48" s="37">
        <v>0</v>
      </c>
      <c r="G48" s="35">
        <f>AA73</f>
        <v>0</v>
      </c>
      <c r="H48" s="59">
        <f>AA74</f>
        <v>0</v>
      </c>
      <c r="I48" s="1"/>
      <c r="J48" s="1"/>
      <c r="K48" s="1"/>
      <c r="L48" s="1"/>
      <c r="AA48" s="2">
        <f>G44*D5</f>
        <v>30000</v>
      </c>
    </row>
    <row r="49" spans="1:27" ht="15.75" x14ac:dyDescent="0.25">
      <c r="A49" s="152" t="s">
        <v>135</v>
      </c>
      <c r="B49" s="20"/>
      <c r="C49" s="20"/>
      <c r="D49" s="150" t="s">
        <v>26</v>
      </c>
      <c r="E49" s="39">
        <v>0</v>
      </c>
      <c r="F49" s="37">
        <v>0</v>
      </c>
      <c r="G49" s="35">
        <f>AA77</f>
        <v>0</v>
      </c>
      <c r="H49" s="59">
        <f>AA78</f>
        <v>0</v>
      </c>
      <c r="I49" s="11"/>
      <c r="J49" s="11"/>
      <c r="K49" s="11"/>
      <c r="L49" s="1"/>
      <c r="AA49" s="2">
        <f>G33*D5</f>
        <v>0</v>
      </c>
    </row>
    <row r="50" spans="1:27" ht="15.75" x14ac:dyDescent="0.25">
      <c r="A50" s="154" t="s">
        <v>98</v>
      </c>
      <c r="B50" s="147" t="s">
        <v>144</v>
      </c>
      <c r="C50" s="148"/>
      <c r="D50" s="150" t="s">
        <v>160</v>
      </c>
      <c r="E50" s="39">
        <v>0</v>
      </c>
      <c r="F50" s="37">
        <v>0</v>
      </c>
      <c r="G50" s="35">
        <f>AA79</f>
        <v>0</v>
      </c>
      <c r="H50" s="59">
        <f>AA80</f>
        <v>0</v>
      </c>
      <c r="I50" s="1"/>
      <c r="J50" s="1"/>
      <c r="K50" s="1"/>
      <c r="L50" s="1"/>
      <c r="AA50" s="2">
        <f>E46*F46</f>
        <v>0</v>
      </c>
    </row>
    <row r="51" spans="1:27" ht="15.75" x14ac:dyDescent="0.25">
      <c r="A51" s="62"/>
      <c r="B51" s="147"/>
      <c r="C51" s="148"/>
      <c r="D51" s="150" t="s">
        <v>160</v>
      </c>
      <c r="E51" s="39">
        <v>3</v>
      </c>
      <c r="F51" s="37">
        <v>100</v>
      </c>
      <c r="G51" s="35">
        <f>AA54</f>
        <v>300</v>
      </c>
      <c r="H51" s="59">
        <f>AA55</f>
        <v>3000</v>
      </c>
      <c r="I51" s="1"/>
      <c r="J51" s="1"/>
      <c r="K51" s="1"/>
      <c r="L51" s="1"/>
      <c r="AA51" s="2">
        <f>G46*D5</f>
        <v>0</v>
      </c>
    </row>
    <row r="52" spans="1:27" ht="15.75" x14ac:dyDescent="0.25">
      <c r="A52" s="62"/>
      <c r="B52" s="147"/>
      <c r="C52" s="148"/>
      <c r="D52" s="150" t="s">
        <v>160</v>
      </c>
      <c r="E52" s="39">
        <v>2</v>
      </c>
      <c r="F52" s="37">
        <v>50</v>
      </c>
      <c r="G52" s="35">
        <f>AA56</f>
        <v>100</v>
      </c>
      <c r="H52" s="59">
        <f>AA57</f>
        <v>1000</v>
      </c>
      <c r="I52" s="1"/>
      <c r="J52" s="1"/>
      <c r="K52" s="1"/>
      <c r="L52" s="1"/>
      <c r="AA52" s="2">
        <f>E47*F47</f>
        <v>0</v>
      </c>
    </row>
    <row r="53" spans="1:27" ht="15.75" x14ac:dyDescent="0.25">
      <c r="A53" s="155" t="s">
        <v>164</v>
      </c>
      <c r="B53" s="147" t="s">
        <v>161</v>
      </c>
      <c r="C53" s="148"/>
      <c r="D53" s="150" t="s">
        <v>26</v>
      </c>
      <c r="E53" s="39">
        <v>0</v>
      </c>
      <c r="F53" s="37">
        <v>0</v>
      </c>
      <c r="G53" s="35">
        <f>AA82</f>
        <v>0</v>
      </c>
      <c r="H53" s="59">
        <f>AA83</f>
        <v>0</v>
      </c>
      <c r="I53" s="11"/>
      <c r="J53" s="11"/>
      <c r="K53" s="11"/>
      <c r="L53" s="1"/>
      <c r="AA53" s="2">
        <f>G47*D5</f>
        <v>0</v>
      </c>
    </row>
    <row r="54" spans="1:27" ht="15.75" x14ac:dyDescent="0.25">
      <c r="A54" s="155" t="s">
        <v>165</v>
      </c>
      <c r="B54" s="147" t="s">
        <v>161</v>
      </c>
      <c r="C54" s="148"/>
      <c r="D54" s="150" t="s">
        <v>160</v>
      </c>
      <c r="E54" s="39">
        <v>0</v>
      </c>
      <c r="F54" s="37">
        <v>0</v>
      </c>
      <c r="G54" s="35">
        <f>AA88</f>
        <v>0</v>
      </c>
      <c r="H54" s="59">
        <f>AA89</f>
        <v>0</v>
      </c>
      <c r="I54" s="1"/>
      <c r="J54" s="1"/>
      <c r="K54" s="1"/>
      <c r="L54" s="1"/>
      <c r="AA54" s="2">
        <f>E51*F51</f>
        <v>300</v>
      </c>
    </row>
    <row r="55" spans="1:27" ht="15.75" x14ac:dyDescent="0.25">
      <c r="A55" s="34"/>
      <c r="B55" s="20"/>
      <c r="C55" s="36"/>
      <c r="D55" s="20"/>
      <c r="E55" s="20"/>
      <c r="F55" s="20"/>
      <c r="G55" s="49"/>
      <c r="H55" s="45"/>
      <c r="I55" s="1"/>
      <c r="J55" s="1"/>
      <c r="K55" s="1"/>
      <c r="L55" s="1"/>
      <c r="AA55" s="2">
        <f>G51*D5</f>
        <v>3000</v>
      </c>
    </row>
    <row r="56" spans="1:27" ht="15.75" x14ac:dyDescent="0.25">
      <c r="A56" s="152" t="s">
        <v>27</v>
      </c>
      <c r="B56" s="20"/>
      <c r="C56" s="36"/>
      <c r="D56" s="150" t="s">
        <v>26</v>
      </c>
      <c r="E56" s="39">
        <v>1</v>
      </c>
      <c r="F56" s="39">
        <v>1993</v>
      </c>
      <c r="G56" s="35">
        <f>AA81</f>
        <v>1993</v>
      </c>
      <c r="H56" s="59">
        <f>AA90</f>
        <v>19930</v>
      </c>
      <c r="I56" s="1"/>
      <c r="J56" s="1"/>
      <c r="K56" s="1"/>
      <c r="L56" s="1"/>
      <c r="AA56" s="2">
        <f>E52*F52</f>
        <v>100</v>
      </c>
    </row>
    <row r="57" spans="1:27" ht="15.75" x14ac:dyDescent="0.25">
      <c r="A57" s="152" t="s">
        <v>28</v>
      </c>
      <c r="B57" s="20"/>
      <c r="C57" s="36"/>
      <c r="D57" s="150" t="s">
        <v>26</v>
      </c>
      <c r="E57" s="39">
        <v>1</v>
      </c>
      <c r="F57" s="39">
        <v>1247</v>
      </c>
      <c r="G57" s="35">
        <f>AA91</f>
        <v>1247</v>
      </c>
      <c r="H57" s="59">
        <f>AA92</f>
        <v>12470</v>
      </c>
      <c r="I57" s="1"/>
      <c r="J57" s="1"/>
      <c r="K57" s="1"/>
      <c r="L57" s="1"/>
      <c r="AA57" s="2">
        <f>G52*D5</f>
        <v>1000</v>
      </c>
    </row>
    <row r="58" spans="1:27" ht="15.75" x14ac:dyDescent="0.25">
      <c r="A58" s="152" t="s">
        <v>29</v>
      </c>
      <c r="B58" s="20"/>
      <c r="C58" s="20"/>
      <c r="D58" s="150" t="s">
        <v>26</v>
      </c>
      <c r="E58" s="39">
        <v>1</v>
      </c>
      <c r="F58" s="39">
        <f>649+3989</f>
        <v>4638</v>
      </c>
      <c r="G58" s="35">
        <f>AA93</f>
        <v>4638</v>
      </c>
      <c r="H58" s="59">
        <f>AA94</f>
        <v>46380</v>
      </c>
      <c r="I58" s="1"/>
      <c r="J58" s="1"/>
      <c r="K58" s="1"/>
      <c r="L58" s="1"/>
      <c r="AA58" s="2">
        <f>E34*F34</f>
        <v>0</v>
      </c>
    </row>
    <row r="59" spans="1:27" ht="15.75" x14ac:dyDescent="0.25">
      <c r="A59" s="152" t="s">
        <v>30</v>
      </c>
      <c r="B59" s="20"/>
      <c r="C59" s="20"/>
      <c r="D59" s="150" t="s">
        <v>26</v>
      </c>
      <c r="E59" s="39">
        <v>0</v>
      </c>
      <c r="F59" s="39">
        <v>0</v>
      </c>
      <c r="G59" s="35">
        <f>AA95</f>
        <v>0</v>
      </c>
      <c r="H59" s="59">
        <f>AA96</f>
        <v>0</v>
      </c>
      <c r="I59" s="1"/>
      <c r="J59" s="1"/>
      <c r="K59" s="1"/>
      <c r="L59" s="1"/>
      <c r="AA59" s="2">
        <f>G34*D5</f>
        <v>0</v>
      </c>
    </row>
    <row r="60" spans="1:27" ht="15.75" x14ac:dyDescent="0.25">
      <c r="A60" s="24"/>
      <c r="B60" s="20"/>
      <c r="C60" s="20"/>
      <c r="D60" s="20"/>
      <c r="E60" s="20"/>
      <c r="F60" s="36"/>
      <c r="G60" s="53" t="s">
        <v>31</v>
      </c>
      <c r="H60" s="54" t="s">
        <v>31</v>
      </c>
      <c r="I60" s="1"/>
      <c r="J60" s="1"/>
      <c r="K60" s="1"/>
      <c r="L60" s="1"/>
      <c r="AA60" s="2">
        <f>(1+0.33267*((E10-D17)/((C10-G10)/2)))</f>
        <v>1.6653399999999334</v>
      </c>
    </row>
    <row r="61" spans="1:27" ht="15.75" x14ac:dyDescent="0.25">
      <c r="A61" s="34" t="s">
        <v>32</v>
      </c>
      <c r="B61" s="20"/>
      <c r="C61" s="20"/>
      <c r="D61" s="20"/>
      <c r="E61" s="20"/>
      <c r="F61" s="36"/>
      <c r="G61" s="35">
        <f>AA97</f>
        <v>14498</v>
      </c>
      <c r="H61" s="59">
        <f>AA98</f>
        <v>144980</v>
      </c>
      <c r="I61" s="1"/>
      <c r="J61" s="1"/>
      <c r="K61" s="1"/>
      <c r="L61" s="1"/>
      <c r="AA61" s="3">
        <f>H109</f>
        <v>0</v>
      </c>
    </row>
    <row r="62" spans="1:27" ht="15.75" x14ac:dyDescent="0.25">
      <c r="A62" s="156" t="s">
        <v>167</v>
      </c>
      <c r="B62" s="20"/>
      <c r="C62" s="20"/>
      <c r="D62" s="20"/>
      <c r="E62" s="20"/>
      <c r="F62" s="36"/>
      <c r="G62" s="49"/>
      <c r="H62" s="45"/>
      <c r="I62" s="1"/>
      <c r="J62" s="1"/>
      <c r="K62" s="1"/>
      <c r="L62" s="1"/>
      <c r="AA62" s="2">
        <f>E36*F36</f>
        <v>0</v>
      </c>
    </row>
    <row r="63" spans="1:27" ht="15.75" x14ac:dyDescent="0.25">
      <c r="A63" s="64"/>
      <c r="B63" s="20"/>
      <c r="C63" s="20"/>
      <c r="D63" s="20"/>
      <c r="E63" s="49"/>
      <c r="F63" s="20"/>
      <c r="G63" s="49"/>
      <c r="H63" s="65"/>
      <c r="I63" s="1"/>
      <c r="J63" s="1"/>
      <c r="K63" s="1"/>
      <c r="L63" s="1"/>
      <c r="AA63" s="2">
        <f>G36*D5</f>
        <v>0</v>
      </c>
    </row>
    <row r="64" spans="1:27" ht="15.75" x14ac:dyDescent="0.25">
      <c r="A64" s="24"/>
      <c r="B64" s="20"/>
      <c r="C64" s="20"/>
      <c r="D64" s="53" t="s">
        <v>11</v>
      </c>
      <c r="E64" s="53" t="s">
        <v>12</v>
      </c>
      <c r="F64" s="53" t="s">
        <v>13</v>
      </c>
      <c r="G64" s="53" t="s">
        <v>14</v>
      </c>
      <c r="H64" s="54" t="s">
        <v>117</v>
      </c>
      <c r="I64" s="1"/>
      <c r="J64" s="1"/>
      <c r="K64" s="1"/>
      <c r="L64" s="1"/>
      <c r="AA64" s="3">
        <f>K35+0</f>
        <v>0</v>
      </c>
    </row>
    <row r="65" spans="1:27" ht="15.75" x14ac:dyDescent="0.25">
      <c r="A65" s="34" t="s">
        <v>33</v>
      </c>
      <c r="B65" s="20"/>
      <c r="C65" s="20"/>
      <c r="D65" s="53" t="s">
        <v>34</v>
      </c>
      <c r="E65" s="53" t="s">
        <v>35</v>
      </c>
      <c r="F65" s="53" t="s">
        <v>36</v>
      </c>
      <c r="G65" s="53" t="s">
        <v>31</v>
      </c>
      <c r="H65" s="54" t="s">
        <v>31</v>
      </c>
      <c r="I65" s="1"/>
      <c r="J65" s="1"/>
      <c r="K65" s="1"/>
      <c r="L65" s="1"/>
      <c r="AA65" s="2">
        <f>E37*F37</f>
        <v>0</v>
      </c>
    </row>
    <row r="66" spans="1:27" ht="15.75" x14ac:dyDescent="0.25">
      <c r="A66" s="152" t="s">
        <v>100</v>
      </c>
      <c r="B66" s="20"/>
      <c r="C66" s="20"/>
      <c r="D66" s="150" t="s">
        <v>26</v>
      </c>
      <c r="E66" s="39">
        <v>1</v>
      </c>
      <c r="F66" s="39">
        <v>1773</v>
      </c>
      <c r="G66" s="35">
        <f>AA99</f>
        <v>1773</v>
      </c>
      <c r="H66" s="59">
        <f>AA100</f>
        <v>17730</v>
      </c>
      <c r="I66" s="1"/>
      <c r="J66" s="1"/>
      <c r="K66" s="1"/>
      <c r="L66" s="1"/>
      <c r="AA66" s="2">
        <f>G37*D5</f>
        <v>0</v>
      </c>
    </row>
    <row r="67" spans="1:27" ht="15.75" x14ac:dyDescent="0.25">
      <c r="A67" s="152" t="s">
        <v>99</v>
      </c>
      <c r="B67" s="20"/>
      <c r="C67" s="20"/>
      <c r="D67" s="150" t="s">
        <v>26</v>
      </c>
      <c r="E67" s="39">
        <v>1</v>
      </c>
      <c r="F67" s="39">
        <v>585</v>
      </c>
      <c r="G67" s="35">
        <f>AA101</f>
        <v>585</v>
      </c>
      <c r="H67" s="59">
        <f>AA102</f>
        <v>5850</v>
      </c>
      <c r="I67" s="1"/>
      <c r="J67" s="1"/>
      <c r="K67" s="1"/>
      <c r="L67" s="1"/>
      <c r="AA67" s="2">
        <f>E38*F38</f>
        <v>0</v>
      </c>
    </row>
    <row r="68" spans="1:27" ht="15.75" x14ac:dyDescent="0.25">
      <c r="A68" s="152" t="s">
        <v>103</v>
      </c>
      <c r="B68" s="20"/>
      <c r="C68" s="20"/>
      <c r="D68" s="150" t="s">
        <v>26</v>
      </c>
      <c r="E68" s="39">
        <v>0</v>
      </c>
      <c r="F68" s="39">
        <v>0</v>
      </c>
      <c r="G68" s="35">
        <f>AA103</f>
        <v>0</v>
      </c>
      <c r="H68" s="59">
        <f>AA104</f>
        <v>0</v>
      </c>
      <c r="I68" s="1"/>
      <c r="J68" s="1"/>
      <c r="K68" s="1"/>
      <c r="L68" s="1"/>
      <c r="AA68" s="2">
        <f>G38*D5</f>
        <v>0</v>
      </c>
    </row>
    <row r="69" spans="1:27" ht="15.75" x14ac:dyDescent="0.25">
      <c r="A69" s="152" t="s">
        <v>145</v>
      </c>
      <c r="B69" s="20"/>
      <c r="C69" s="20"/>
      <c r="D69" s="150" t="s">
        <v>26</v>
      </c>
      <c r="E69" s="39">
        <v>0</v>
      </c>
      <c r="F69" s="39">
        <v>0</v>
      </c>
      <c r="G69" s="35">
        <f>AA105</f>
        <v>0</v>
      </c>
      <c r="H69" s="59">
        <f>AA106</f>
        <v>0</v>
      </c>
      <c r="I69" s="1"/>
      <c r="J69" s="1"/>
      <c r="K69" s="1"/>
      <c r="L69" s="1"/>
      <c r="AA69" s="2">
        <f>E39*F39</f>
        <v>0</v>
      </c>
    </row>
    <row r="70" spans="1:27" ht="15.75" x14ac:dyDescent="0.25">
      <c r="A70" s="155" t="s">
        <v>59</v>
      </c>
      <c r="B70" s="20"/>
      <c r="C70" s="20"/>
      <c r="D70" s="150" t="s">
        <v>26</v>
      </c>
      <c r="E70" s="39">
        <v>1</v>
      </c>
      <c r="F70" s="39">
        <v>2953</v>
      </c>
      <c r="G70" s="35">
        <f>AA107</f>
        <v>2953</v>
      </c>
      <c r="H70" s="59">
        <f>AA108</f>
        <v>29530</v>
      </c>
      <c r="I70" s="1"/>
      <c r="J70" s="1"/>
      <c r="K70" s="1"/>
      <c r="L70" s="1"/>
      <c r="AA70" s="2">
        <f>G39*D5</f>
        <v>0</v>
      </c>
    </row>
    <row r="71" spans="1:27" ht="15.75" x14ac:dyDescent="0.25">
      <c r="A71" s="156" t="s">
        <v>168</v>
      </c>
      <c r="B71" s="20"/>
      <c r="C71" s="20"/>
      <c r="D71" s="20"/>
      <c r="E71" s="20"/>
      <c r="F71" s="36"/>
      <c r="G71" s="53" t="s">
        <v>31</v>
      </c>
      <c r="H71" s="54" t="s">
        <v>31</v>
      </c>
      <c r="I71" s="1"/>
      <c r="J71" s="1"/>
      <c r="K71" s="1"/>
      <c r="L71" s="1"/>
      <c r="AA71" s="2">
        <f>E42*F42</f>
        <v>20</v>
      </c>
    </row>
    <row r="72" spans="1:27" ht="15.75" x14ac:dyDescent="0.25">
      <c r="A72" s="34" t="s">
        <v>37</v>
      </c>
      <c r="B72" s="20"/>
      <c r="C72" s="20"/>
      <c r="D72" s="20"/>
      <c r="E72" s="20"/>
      <c r="F72" s="36"/>
      <c r="G72" s="35">
        <f>AA109</f>
        <v>5311</v>
      </c>
      <c r="H72" s="59">
        <f>AA110</f>
        <v>53110</v>
      </c>
      <c r="I72" s="1"/>
      <c r="J72" s="1"/>
      <c r="K72" s="1"/>
      <c r="L72" s="1"/>
      <c r="AA72" s="2">
        <f>G42*D5</f>
        <v>200</v>
      </c>
    </row>
    <row r="73" spans="1:27" ht="15.75" x14ac:dyDescent="0.25">
      <c r="A73" s="24"/>
      <c r="B73" s="20"/>
      <c r="C73" s="20"/>
      <c r="D73" s="20"/>
      <c r="E73" s="20"/>
      <c r="F73" s="36"/>
      <c r="G73" s="49"/>
      <c r="H73" s="45"/>
      <c r="I73" s="1"/>
      <c r="J73" s="1"/>
      <c r="K73" s="1"/>
      <c r="L73" s="1"/>
      <c r="AA73" s="2">
        <f>E48*F48</f>
        <v>0</v>
      </c>
    </row>
    <row r="74" spans="1:27" ht="16.5" thickBot="1" x14ac:dyDescent="0.3">
      <c r="A74" s="34" t="s">
        <v>139</v>
      </c>
      <c r="B74" s="20"/>
      <c r="C74" s="20"/>
      <c r="D74" s="20"/>
      <c r="E74" s="20"/>
      <c r="F74" s="36"/>
      <c r="G74" s="35">
        <f>(G61+G72)-G78</f>
        <v>19088</v>
      </c>
      <c r="H74" s="59">
        <f>AA111</f>
        <v>190880</v>
      </c>
      <c r="I74" s="1"/>
      <c r="J74" s="1"/>
      <c r="K74" s="1"/>
      <c r="L74" s="1"/>
      <c r="AA74" s="2">
        <f>G48*D5</f>
        <v>0</v>
      </c>
    </row>
    <row r="75" spans="1:27" ht="15.75" x14ac:dyDescent="0.25">
      <c r="A75" s="116" t="s">
        <v>140</v>
      </c>
      <c r="B75" s="117"/>
      <c r="C75" s="117"/>
      <c r="D75" s="117"/>
      <c r="E75" s="117"/>
      <c r="F75" s="118"/>
      <c r="G75" s="119"/>
      <c r="H75" s="120"/>
      <c r="I75" s="1"/>
      <c r="J75" s="1"/>
      <c r="K75" s="1"/>
      <c r="L75" s="1"/>
      <c r="AA75" s="2">
        <f>E45*F45</f>
        <v>0</v>
      </c>
    </row>
    <row r="76" spans="1:27" ht="15.75" x14ac:dyDescent="0.25">
      <c r="A76" s="121"/>
      <c r="B76" s="20"/>
      <c r="C76" s="20"/>
      <c r="D76" s="20" t="s">
        <v>11</v>
      </c>
      <c r="E76" s="93" t="s">
        <v>12</v>
      </c>
      <c r="F76" s="43" t="s">
        <v>138</v>
      </c>
      <c r="G76" s="35" t="s">
        <v>14</v>
      </c>
      <c r="H76" s="122" t="s">
        <v>117</v>
      </c>
      <c r="I76" s="1"/>
      <c r="J76" s="1"/>
      <c r="K76" s="1"/>
      <c r="L76" s="1"/>
      <c r="AA76" s="2">
        <f>G45*D5</f>
        <v>0</v>
      </c>
    </row>
    <row r="77" spans="1:27" ht="15.75" x14ac:dyDescent="0.25">
      <c r="A77" s="121" t="s">
        <v>136</v>
      </c>
      <c r="B77" s="20"/>
      <c r="C77" s="20"/>
      <c r="D77" s="150" t="s">
        <v>146</v>
      </c>
      <c r="E77" s="39">
        <v>7875</v>
      </c>
      <c r="F77" s="39">
        <v>2.25</v>
      </c>
      <c r="G77" s="35">
        <f>AA84</f>
        <v>17718.75</v>
      </c>
      <c r="H77" s="122">
        <f>AA85</f>
        <v>177187.5</v>
      </c>
      <c r="I77" s="1"/>
      <c r="J77" s="1"/>
      <c r="K77" s="1"/>
      <c r="L77" s="1"/>
      <c r="AA77" s="2">
        <f>E49*F49</f>
        <v>0</v>
      </c>
    </row>
    <row r="78" spans="1:27" ht="15.75" x14ac:dyDescent="0.25">
      <c r="A78" s="121" t="s">
        <v>137</v>
      </c>
      <c r="B78" s="20"/>
      <c r="C78" s="20"/>
      <c r="D78" s="150" t="s">
        <v>26</v>
      </c>
      <c r="E78" s="39">
        <v>1</v>
      </c>
      <c r="F78" s="39">
        <v>721</v>
      </c>
      <c r="G78" s="35">
        <f>AA86</f>
        <v>721</v>
      </c>
      <c r="H78" s="122">
        <f>AA87</f>
        <v>7210</v>
      </c>
      <c r="I78" s="1"/>
      <c r="J78" s="1"/>
      <c r="K78" s="1"/>
      <c r="L78" s="1"/>
      <c r="AA78" s="2">
        <f>G49*D5</f>
        <v>0</v>
      </c>
    </row>
    <row r="79" spans="1:27" ht="15.75" x14ac:dyDescent="0.25">
      <c r="A79" s="121"/>
      <c r="B79" s="20"/>
      <c r="C79" s="20"/>
      <c r="D79" s="63"/>
      <c r="E79" s="63"/>
      <c r="F79" s="63"/>
      <c r="G79" s="35"/>
      <c r="H79" s="122"/>
      <c r="I79" s="1"/>
      <c r="J79" s="1"/>
      <c r="K79" s="1"/>
      <c r="L79" s="1"/>
      <c r="AA79" s="2">
        <f>E50*F50</f>
        <v>0</v>
      </c>
    </row>
    <row r="80" spans="1:27" ht="15.75" x14ac:dyDescent="0.25">
      <c r="A80" s="121" t="s">
        <v>113</v>
      </c>
      <c r="B80" s="20"/>
      <c r="C80" s="20"/>
      <c r="D80" s="20"/>
      <c r="E80" s="20"/>
      <c r="F80" s="39">
        <v>0</v>
      </c>
      <c r="G80" s="35">
        <f>AA114</f>
        <v>120.03860743953689</v>
      </c>
      <c r="H80" s="122">
        <f>AA115</f>
        <v>1200.386074395369</v>
      </c>
      <c r="I80" s="1"/>
      <c r="J80" s="1"/>
      <c r="K80" s="1"/>
      <c r="L80" s="1"/>
      <c r="AA80" s="2">
        <f>G50*D5</f>
        <v>0</v>
      </c>
    </row>
    <row r="81" spans="1:27" ht="16.5" thickBot="1" x14ac:dyDescent="0.3">
      <c r="A81" s="123" t="str">
        <f>AA116</f>
        <v xml:space="preserve"> -OR- Amortized over 25 years (Leave Dir. Entry at 0)</v>
      </c>
      <c r="B81" s="115"/>
      <c r="C81" s="115"/>
      <c r="D81" s="115"/>
      <c r="E81" s="115"/>
      <c r="F81" s="124"/>
      <c r="G81" s="125">
        <v>9.2950000000000005E-2</v>
      </c>
      <c r="H81" s="126" t="s">
        <v>39</v>
      </c>
      <c r="I81" s="1"/>
      <c r="J81" s="1"/>
      <c r="K81" s="1"/>
      <c r="L81" s="1"/>
      <c r="AA81" s="2">
        <f>E56*F56</f>
        <v>1993</v>
      </c>
    </row>
    <row r="82" spans="1:27" ht="15.75" x14ac:dyDescent="0.25">
      <c r="A82" s="71"/>
      <c r="B82" s="56"/>
      <c r="C82" s="56"/>
      <c r="D82" s="56"/>
      <c r="E82" s="56"/>
      <c r="F82" s="56"/>
      <c r="G82" s="56"/>
      <c r="H82" s="72"/>
      <c r="I82" s="1"/>
      <c r="J82" s="1"/>
      <c r="K82" s="1"/>
      <c r="L82" s="1"/>
      <c r="AA82" s="2">
        <f>E53*F53</f>
        <v>0</v>
      </c>
    </row>
    <row r="83" spans="1:27" ht="15.75" x14ac:dyDescent="0.25">
      <c r="A83" s="24"/>
      <c r="B83" s="20"/>
      <c r="C83" s="20"/>
      <c r="D83" s="53" t="s">
        <v>11</v>
      </c>
      <c r="E83" s="53" t="s">
        <v>12</v>
      </c>
      <c r="F83" s="53" t="s">
        <v>13</v>
      </c>
      <c r="G83" s="53" t="s">
        <v>14</v>
      </c>
      <c r="H83" s="54" t="s">
        <v>15</v>
      </c>
      <c r="I83" s="1"/>
      <c r="J83" s="1"/>
      <c r="K83" s="1"/>
      <c r="L83" s="1"/>
      <c r="AA83" s="2">
        <f>G53*D5</f>
        <v>0</v>
      </c>
    </row>
    <row r="84" spans="1:27" ht="15.75" x14ac:dyDescent="0.25">
      <c r="A84" s="34" t="s">
        <v>38</v>
      </c>
      <c r="B84" s="20"/>
      <c r="C84" s="20"/>
      <c r="D84" s="53" t="s">
        <v>34</v>
      </c>
      <c r="E84" s="53" t="s">
        <v>35</v>
      </c>
      <c r="F84" s="53" t="s">
        <v>36</v>
      </c>
      <c r="G84" s="53" t="s">
        <v>31</v>
      </c>
      <c r="H84" s="54" t="s">
        <v>31</v>
      </c>
      <c r="I84" s="1"/>
      <c r="J84" s="1"/>
      <c r="K84" s="1"/>
      <c r="L84" s="1"/>
      <c r="AA84" s="2">
        <f>E77*F77</f>
        <v>17718.75</v>
      </c>
    </row>
    <row r="85" spans="1:27" ht="15.75" x14ac:dyDescent="0.25">
      <c r="A85" s="34"/>
      <c r="B85" s="20"/>
      <c r="C85" s="20"/>
      <c r="D85" s="20"/>
      <c r="E85" s="20"/>
      <c r="F85" s="36"/>
      <c r="G85" s="21"/>
      <c r="H85" s="54"/>
      <c r="I85" s="1"/>
      <c r="J85" s="1"/>
      <c r="K85" s="1"/>
      <c r="L85" s="1"/>
      <c r="AA85" s="2">
        <f>G77*D5</f>
        <v>177187.5</v>
      </c>
    </row>
    <row r="86" spans="1:27" ht="15.75" x14ac:dyDescent="0.25">
      <c r="A86" s="152" t="s">
        <v>96</v>
      </c>
      <c r="B86" s="60"/>
      <c r="C86" s="20"/>
      <c r="D86" s="150" t="s">
        <v>20</v>
      </c>
      <c r="E86" s="39">
        <v>21.4</v>
      </c>
      <c r="F86" s="37">
        <v>17.399999999999999</v>
      </c>
      <c r="G86" s="35">
        <f>AA117</f>
        <v>372.35999999999996</v>
      </c>
      <c r="H86" s="59">
        <f>AA118</f>
        <v>3723.5999999999995</v>
      </c>
      <c r="I86" s="1"/>
      <c r="J86" s="1"/>
      <c r="K86" s="1"/>
      <c r="L86" s="1"/>
      <c r="AA86" s="2">
        <f>E78*F78</f>
        <v>721</v>
      </c>
    </row>
    <row r="87" spans="1:27" ht="15.75" x14ac:dyDescent="0.25">
      <c r="A87" s="152" t="s">
        <v>97</v>
      </c>
      <c r="B87" s="20"/>
      <c r="C87" s="20"/>
      <c r="D87" s="150" t="s">
        <v>20</v>
      </c>
      <c r="E87" s="39">
        <v>10.3</v>
      </c>
      <c r="F87" s="37">
        <v>19.45</v>
      </c>
      <c r="G87" s="35">
        <f>AA119</f>
        <v>200.33500000000001</v>
      </c>
      <c r="H87" s="59">
        <f>AA120</f>
        <v>2003.3500000000001</v>
      </c>
      <c r="I87" s="1"/>
      <c r="J87" s="1"/>
      <c r="K87" s="1"/>
      <c r="L87" s="1"/>
      <c r="AA87" s="2">
        <f>G78*D5</f>
        <v>7210</v>
      </c>
    </row>
    <row r="88" spans="1:27" ht="15.75" x14ac:dyDescent="0.25">
      <c r="A88" s="34"/>
      <c r="B88" s="20"/>
      <c r="C88" s="20"/>
      <c r="D88" s="20"/>
      <c r="E88" s="20"/>
      <c r="F88" s="36"/>
      <c r="G88" s="20"/>
      <c r="H88" s="29"/>
      <c r="I88" s="1"/>
      <c r="J88" s="1"/>
      <c r="K88" s="1"/>
      <c r="L88" s="1"/>
      <c r="AA88" s="2">
        <f>E54*F54</f>
        <v>0</v>
      </c>
    </row>
    <row r="89" spans="1:27" ht="15.75" x14ac:dyDescent="0.25">
      <c r="A89" s="151" t="s">
        <v>153</v>
      </c>
      <c r="B89" s="147" t="s">
        <v>154</v>
      </c>
      <c r="C89" s="148"/>
      <c r="D89" s="150" t="s">
        <v>124</v>
      </c>
      <c r="E89" s="39">
        <v>1</v>
      </c>
      <c r="F89" s="61">
        <v>46</v>
      </c>
      <c r="G89" s="35">
        <f>AA121</f>
        <v>46</v>
      </c>
      <c r="H89" s="59">
        <f>AA122</f>
        <v>460</v>
      </c>
      <c r="I89" s="11"/>
      <c r="J89" s="1"/>
      <c r="K89" s="1"/>
      <c r="L89" s="1"/>
      <c r="AA89" s="2">
        <f>G54*D5</f>
        <v>0</v>
      </c>
    </row>
    <row r="90" spans="1:27" ht="15.75" x14ac:dyDescent="0.25">
      <c r="A90" s="149"/>
      <c r="B90" s="147" t="s">
        <v>155</v>
      </c>
      <c r="C90" s="148"/>
      <c r="D90" s="150" t="s">
        <v>124</v>
      </c>
      <c r="E90" s="39">
        <v>0</v>
      </c>
      <c r="F90" s="61">
        <v>0</v>
      </c>
      <c r="G90" s="35">
        <f>AA123</f>
        <v>0</v>
      </c>
      <c r="H90" s="59">
        <f>AA124</f>
        <v>0</v>
      </c>
      <c r="I90" s="11"/>
      <c r="J90" s="1"/>
      <c r="K90" s="1"/>
      <c r="L90" s="1"/>
      <c r="AA90" s="2">
        <f>G56*D5</f>
        <v>19930</v>
      </c>
    </row>
    <row r="91" spans="1:27" ht="15.75" x14ac:dyDescent="0.25">
      <c r="A91" s="149"/>
      <c r="B91" s="147" t="s">
        <v>156</v>
      </c>
      <c r="C91" s="148"/>
      <c r="D91" s="150" t="s">
        <v>124</v>
      </c>
      <c r="E91" s="39">
        <v>0</v>
      </c>
      <c r="F91" s="61">
        <v>0</v>
      </c>
      <c r="G91" s="35">
        <f>AA125</f>
        <v>0</v>
      </c>
      <c r="H91" s="59">
        <f>AA126</f>
        <v>0</v>
      </c>
      <c r="I91" s="11"/>
      <c r="J91" s="1"/>
      <c r="K91" s="1"/>
      <c r="L91" s="1"/>
      <c r="AA91" s="2">
        <f>E57*F57</f>
        <v>1247</v>
      </c>
    </row>
    <row r="92" spans="1:27" ht="15.75" x14ac:dyDescent="0.25">
      <c r="A92" s="34"/>
      <c r="B92" s="20"/>
      <c r="C92" s="20"/>
      <c r="D92" s="20"/>
      <c r="E92" s="49"/>
      <c r="F92" s="36"/>
      <c r="G92" s="49"/>
      <c r="H92" s="45"/>
      <c r="I92" s="11"/>
      <c r="J92" s="1"/>
      <c r="K92" s="1"/>
      <c r="L92" s="1"/>
      <c r="AA92" s="2">
        <f>G57*D5</f>
        <v>12470</v>
      </c>
    </row>
    <row r="93" spans="1:27" ht="15.75" x14ac:dyDescent="0.25">
      <c r="A93" s="24"/>
      <c r="B93" s="20"/>
      <c r="C93" s="20"/>
      <c r="D93" s="53" t="s">
        <v>11</v>
      </c>
      <c r="E93" s="53" t="s">
        <v>12</v>
      </c>
      <c r="F93" s="53" t="s">
        <v>13</v>
      </c>
      <c r="G93" s="53" t="s">
        <v>14</v>
      </c>
      <c r="H93" s="54" t="s">
        <v>15</v>
      </c>
      <c r="I93" s="1"/>
      <c r="J93" s="1"/>
      <c r="K93" s="1"/>
      <c r="L93" s="1"/>
      <c r="AA93" s="2">
        <f>E58*F58</f>
        <v>4638</v>
      </c>
    </row>
    <row r="94" spans="1:27" ht="15.75" x14ac:dyDescent="0.25">
      <c r="A94" s="34"/>
      <c r="B94" s="20"/>
      <c r="C94" s="20"/>
      <c r="D94" s="53" t="s">
        <v>34</v>
      </c>
      <c r="E94" s="53" t="s">
        <v>35</v>
      </c>
      <c r="F94" s="53" t="s">
        <v>36</v>
      </c>
      <c r="G94" s="53" t="s">
        <v>31</v>
      </c>
      <c r="H94" s="54" t="s">
        <v>31</v>
      </c>
      <c r="I94" s="11"/>
      <c r="J94" s="11"/>
      <c r="K94" s="1"/>
      <c r="L94" s="1"/>
      <c r="AA94" s="2">
        <f>G58*D5</f>
        <v>46380</v>
      </c>
    </row>
    <row r="95" spans="1:27" ht="15.75" x14ac:dyDescent="0.25">
      <c r="A95" s="152" t="s">
        <v>159</v>
      </c>
      <c r="B95" s="147" t="s">
        <v>161</v>
      </c>
      <c r="C95" s="148"/>
      <c r="D95" s="150" t="s">
        <v>160</v>
      </c>
      <c r="E95" s="39">
        <v>1</v>
      </c>
      <c r="F95" s="37">
        <v>57</v>
      </c>
      <c r="G95" s="35">
        <f>AA132</f>
        <v>57</v>
      </c>
      <c r="H95" s="59">
        <f>AA133</f>
        <v>570</v>
      </c>
      <c r="I95" s="11"/>
      <c r="J95" s="11"/>
      <c r="K95" s="1"/>
      <c r="L95" s="1"/>
      <c r="AA95" s="2">
        <f>E59*F59</f>
        <v>0</v>
      </c>
    </row>
    <row r="96" spans="1:27" ht="15.75" x14ac:dyDescent="0.25">
      <c r="A96" s="152"/>
      <c r="B96" s="147" t="s">
        <v>161</v>
      </c>
      <c r="C96" s="148"/>
      <c r="D96" s="150" t="s">
        <v>160</v>
      </c>
      <c r="E96" s="39">
        <v>0</v>
      </c>
      <c r="F96" s="37">
        <v>0</v>
      </c>
      <c r="G96" s="35">
        <f>AA134</f>
        <v>0</v>
      </c>
      <c r="H96" s="59">
        <f>AA135</f>
        <v>0</v>
      </c>
      <c r="I96" s="11"/>
      <c r="J96" s="11"/>
      <c r="K96" s="1"/>
      <c r="L96" s="1"/>
      <c r="AA96" s="2">
        <f>G59*D5</f>
        <v>0</v>
      </c>
    </row>
    <row r="97" spans="1:27" ht="15.75" x14ac:dyDescent="0.25">
      <c r="A97" s="34"/>
      <c r="B97" s="73"/>
      <c r="C97" s="73"/>
      <c r="D97" s="20"/>
      <c r="E97" s="20"/>
      <c r="F97" s="20"/>
      <c r="G97" s="49"/>
      <c r="H97" s="45"/>
      <c r="I97" s="11"/>
      <c r="J97" s="11"/>
      <c r="K97" s="1"/>
      <c r="L97" s="1"/>
      <c r="AA97" s="3">
        <f>SUM(G26:G59)</f>
        <v>14498</v>
      </c>
    </row>
    <row r="98" spans="1:27" ht="15.75" x14ac:dyDescent="0.25">
      <c r="A98" s="152" t="s">
        <v>24</v>
      </c>
      <c r="B98" s="147" t="s">
        <v>161</v>
      </c>
      <c r="C98" s="148"/>
      <c r="D98" s="150" t="s">
        <v>160</v>
      </c>
      <c r="E98" s="39">
        <v>1</v>
      </c>
      <c r="F98" s="37">
        <v>250</v>
      </c>
      <c r="G98" s="35">
        <f>AA137</f>
        <v>250</v>
      </c>
      <c r="H98" s="59">
        <f>AA138</f>
        <v>2500</v>
      </c>
      <c r="I98" s="11"/>
      <c r="J98" s="1"/>
      <c r="K98" s="1"/>
      <c r="L98" s="1"/>
      <c r="AA98" s="3">
        <f>SUM(H26:H59)</f>
        <v>144980</v>
      </c>
    </row>
    <row r="99" spans="1:27" ht="15.75" x14ac:dyDescent="0.25">
      <c r="A99" s="152"/>
      <c r="B99" s="147" t="s">
        <v>161</v>
      </c>
      <c r="C99" s="148"/>
      <c r="D99" s="150" t="s">
        <v>160</v>
      </c>
      <c r="E99" s="39">
        <v>0</v>
      </c>
      <c r="F99" s="37">
        <v>0</v>
      </c>
      <c r="G99" s="35">
        <f>AA139</f>
        <v>0</v>
      </c>
      <c r="H99" s="59">
        <f>AA140</f>
        <v>0</v>
      </c>
      <c r="I99" s="11"/>
      <c r="J99" s="1"/>
      <c r="K99" s="1"/>
      <c r="L99" s="1"/>
      <c r="AA99" s="2">
        <f>E66*F66</f>
        <v>1773</v>
      </c>
    </row>
    <row r="100" spans="1:27" ht="15.75" x14ac:dyDescent="0.25">
      <c r="A100" s="34"/>
      <c r="B100" s="73"/>
      <c r="C100" s="73"/>
      <c r="D100" s="20"/>
      <c r="E100" s="49"/>
      <c r="F100" s="49"/>
      <c r="G100" s="49"/>
      <c r="H100" s="45"/>
      <c r="I100" s="11"/>
      <c r="J100" s="11"/>
      <c r="K100" s="1"/>
      <c r="L100" s="1"/>
      <c r="AA100" s="2">
        <f>G66*D5</f>
        <v>17730</v>
      </c>
    </row>
    <row r="101" spans="1:27" ht="15.75" x14ac:dyDescent="0.25">
      <c r="A101" s="152" t="s">
        <v>25</v>
      </c>
      <c r="B101" s="147" t="s">
        <v>161</v>
      </c>
      <c r="C101" s="148"/>
      <c r="D101" s="150" t="s">
        <v>160</v>
      </c>
      <c r="E101" s="39">
        <v>1</v>
      </c>
      <c r="F101" s="37">
        <v>155</v>
      </c>
      <c r="G101" s="35">
        <f>AA142</f>
        <v>155</v>
      </c>
      <c r="H101" s="59">
        <f>AA143</f>
        <v>1550</v>
      </c>
      <c r="I101" s="11"/>
      <c r="J101" s="11"/>
      <c r="K101" s="1"/>
      <c r="L101" s="1"/>
      <c r="AA101" s="2">
        <f>E67*F67</f>
        <v>585</v>
      </c>
    </row>
    <row r="102" spans="1:27" ht="15.75" x14ac:dyDescent="0.25">
      <c r="A102" s="152"/>
      <c r="B102" s="147" t="s">
        <v>161</v>
      </c>
      <c r="C102" s="148"/>
      <c r="D102" s="150" t="s">
        <v>160</v>
      </c>
      <c r="E102" s="39">
        <v>0</v>
      </c>
      <c r="F102" s="37">
        <v>0</v>
      </c>
      <c r="G102" s="35">
        <f>AA144</f>
        <v>0</v>
      </c>
      <c r="H102" s="59">
        <f>AA145</f>
        <v>0</v>
      </c>
      <c r="I102" s="11"/>
      <c r="J102" s="11"/>
      <c r="K102" s="1"/>
      <c r="L102" s="1"/>
      <c r="AA102" s="2">
        <f>G67*D5</f>
        <v>5850</v>
      </c>
    </row>
    <row r="103" spans="1:27" ht="15.75" x14ac:dyDescent="0.25">
      <c r="A103" s="34"/>
      <c r="B103" s="20"/>
      <c r="C103" s="20"/>
      <c r="D103" s="20"/>
      <c r="E103" s="20"/>
      <c r="F103" s="20"/>
      <c r="G103" s="20"/>
      <c r="H103" s="29"/>
      <c r="I103" s="11"/>
      <c r="J103" s="11"/>
      <c r="K103" s="1"/>
      <c r="L103" s="1"/>
      <c r="AA103" s="2">
        <f>E68*F68</f>
        <v>0</v>
      </c>
    </row>
    <row r="104" spans="1:27" ht="15.75" x14ac:dyDescent="0.25">
      <c r="A104" s="24"/>
      <c r="B104" s="20"/>
      <c r="C104" s="20"/>
      <c r="D104" s="53" t="s">
        <v>11</v>
      </c>
      <c r="E104" s="53" t="s">
        <v>12</v>
      </c>
      <c r="F104" s="53" t="s">
        <v>13</v>
      </c>
      <c r="G104" s="53" t="s">
        <v>14</v>
      </c>
      <c r="H104" s="54" t="s">
        <v>15</v>
      </c>
      <c r="I104" s="11"/>
      <c r="J104" s="11"/>
      <c r="K104" s="1"/>
      <c r="L104" s="1"/>
      <c r="AA104" s="2">
        <f>G68*D5</f>
        <v>0</v>
      </c>
    </row>
    <row r="105" spans="1:27" ht="15.75" x14ac:dyDescent="0.25">
      <c r="A105" s="34" t="s">
        <v>40</v>
      </c>
      <c r="B105" s="20"/>
      <c r="C105" s="49"/>
      <c r="D105" s="53" t="s">
        <v>34</v>
      </c>
      <c r="E105" s="53" t="s">
        <v>35</v>
      </c>
      <c r="F105" s="53" t="s">
        <v>36</v>
      </c>
      <c r="G105" s="53" t="s">
        <v>31</v>
      </c>
      <c r="H105" s="54" t="s">
        <v>31</v>
      </c>
      <c r="I105" s="13"/>
      <c r="J105" s="11"/>
      <c r="K105" s="1"/>
      <c r="L105" s="1"/>
      <c r="AA105" s="2">
        <f>E69*F69</f>
        <v>0</v>
      </c>
    </row>
    <row r="106" spans="1:27" ht="15.75" x14ac:dyDescent="0.25">
      <c r="A106" s="152" t="s">
        <v>125</v>
      </c>
      <c r="B106" s="20"/>
      <c r="C106" s="49"/>
      <c r="D106" s="150" t="s">
        <v>26</v>
      </c>
      <c r="E106" s="39">
        <v>0</v>
      </c>
      <c r="F106" s="37">
        <v>0</v>
      </c>
      <c r="G106" s="35">
        <f>AA150</f>
        <v>0</v>
      </c>
      <c r="H106" s="59">
        <f>AA151</f>
        <v>0</v>
      </c>
      <c r="I106" s="11"/>
      <c r="J106" s="11"/>
      <c r="K106" s="1"/>
      <c r="L106" s="1"/>
      <c r="AA106" s="2">
        <f>G69*D5</f>
        <v>0</v>
      </c>
    </row>
    <row r="107" spans="1:27" ht="15.75" x14ac:dyDescent="0.25">
      <c r="A107" s="152" t="s">
        <v>135</v>
      </c>
      <c r="B107" s="20"/>
      <c r="C107" s="49"/>
      <c r="D107" s="150" t="s">
        <v>26</v>
      </c>
      <c r="E107" s="39">
        <v>0</v>
      </c>
      <c r="F107" s="37">
        <v>0</v>
      </c>
      <c r="G107" s="35">
        <f>AA152</f>
        <v>0</v>
      </c>
      <c r="H107" s="59">
        <f>AA153</f>
        <v>0</v>
      </c>
      <c r="I107" s="11"/>
      <c r="J107" s="1"/>
      <c r="K107" s="1"/>
      <c r="L107" s="1"/>
      <c r="AA107" s="2">
        <f>E70*F70</f>
        <v>2953</v>
      </c>
    </row>
    <row r="108" spans="1:27" ht="15.75" x14ac:dyDescent="0.25">
      <c r="A108" s="152" t="s">
        <v>170</v>
      </c>
      <c r="B108" s="20"/>
      <c r="C108" s="20"/>
      <c r="D108" s="150" t="s">
        <v>26</v>
      </c>
      <c r="E108" s="39">
        <v>1</v>
      </c>
      <c r="F108" s="37">
        <v>83</v>
      </c>
      <c r="G108" s="35">
        <f>AA154</f>
        <v>83</v>
      </c>
      <c r="H108" s="59">
        <f>AA155</f>
        <v>830</v>
      </c>
      <c r="I108" s="11"/>
      <c r="J108" s="1"/>
      <c r="K108" s="1"/>
      <c r="L108" s="1"/>
      <c r="AA108" s="2">
        <f>G70*D5</f>
        <v>29530</v>
      </c>
    </row>
    <row r="109" spans="1:27" ht="15.75" x14ac:dyDescent="0.25">
      <c r="A109" s="152" t="s">
        <v>2</v>
      </c>
      <c r="B109" s="20"/>
      <c r="C109" s="20"/>
      <c r="D109" s="63" t="s">
        <v>41</v>
      </c>
      <c r="E109" s="53">
        <f>AA156</f>
        <v>0</v>
      </c>
      <c r="F109" s="43">
        <f>AA157</f>
        <v>9.9999999999999998E-17</v>
      </c>
      <c r="G109" s="35">
        <f>AA158</f>
        <v>0</v>
      </c>
      <c r="H109" s="59">
        <f>AA159</f>
        <v>0</v>
      </c>
      <c r="I109" s="11"/>
      <c r="J109" s="11"/>
      <c r="K109" s="1"/>
      <c r="L109" s="1"/>
      <c r="AA109" s="3">
        <f>SUM(G66:G70)</f>
        <v>5311</v>
      </c>
    </row>
    <row r="110" spans="1:27" ht="15.75" x14ac:dyDescent="0.25">
      <c r="A110" s="152" t="s">
        <v>147</v>
      </c>
      <c r="B110" s="20"/>
      <c r="C110" s="20"/>
      <c r="D110" s="150" t="s">
        <v>26</v>
      </c>
      <c r="E110" s="39">
        <v>1</v>
      </c>
      <c r="F110" s="37">
        <v>48</v>
      </c>
      <c r="G110" s="35">
        <f>AA160</f>
        <v>48</v>
      </c>
      <c r="H110" s="59">
        <f>AA161</f>
        <v>480</v>
      </c>
      <c r="I110" s="11"/>
      <c r="J110" s="11"/>
      <c r="K110" s="1"/>
      <c r="L110" s="1"/>
      <c r="AA110" s="3">
        <f>SUM(H66:H70)</f>
        <v>53110</v>
      </c>
    </row>
    <row r="111" spans="1:27" ht="15.75" x14ac:dyDescent="0.25">
      <c r="A111" s="152" t="s">
        <v>126</v>
      </c>
      <c r="B111" s="20"/>
      <c r="C111" s="49"/>
      <c r="D111" s="150" t="s">
        <v>26</v>
      </c>
      <c r="E111" s="39">
        <v>0</v>
      </c>
      <c r="F111" s="37">
        <v>0</v>
      </c>
      <c r="G111" s="35">
        <f>AA162</f>
        <v>0</v>
      </c>
      <c r="H111" s="59">
        <f>AA163</f>
        <v>0</v>
      </c>
      <c r="I111" s="11"/>
      <c r="J111" s="11"/>
      <c r="K111" s="1"/>
      <c r="L111" s="1"/>
      <c r="AA111" s="3">
        <f>H61+H72-H78</f>
        <v>190880</v>
      </c>
    </row>
    <row r="112" spans="1:27" ht="15.75" x14ac:dyDescent="0.25">
      <c r="A112" s="155" t="s">
        <v>169</v>
      </c>
      <c r="B112" s="147" t="s">
        <v>161</v>
      </c>
      <c r="C112" s="148"/>
      <c r="D112" s="150" t="s">
        <v>17</v>
      </c>
      <c r="E112" s="39">
        <v>0</v>
      </c>
      <c r="F112" s="37">
        <v>0</v>
      </c>
      <c r="G112" s="35">
        <f>AA112</f>
        <v>0</v>
      </c>
      <c r="H112" s="59">
        <f>AA113</f>
        <v>0</v>
      </c>
      <c r="I112" s="11"/>
      <c r="J112" s="11"/>
      <c r="K112" s="1"/>
      <c r="L112" s="1"/>
      <c r="AA112" s="3">
        <f>E112*F112</f>
        <v>0</v>
      </c>
    </row>
    <row r="113" spans="1:27" ht="15.75" x14ac:dyDescent="0.25">
      <c r="A113" s="152" t="s">
        <v>173</v>
      </c>
      <c r="B113" s="20"/>
      <c r="C113" s="49"/>
      <c r="D113" s="150" t="s">
        <v>26</v>
      </c>
      <c r="E113" s="39">
        <v>0</v>
      </c>
      <c r="F113" s="37">
        <v>0</v>
      </c>
      <c r="G113" s="35">
        <f>AA127</f>
        <v>0</v>
      </c>
      <c r="H113" s="59">
        <f>AA128</f>
        <v>0</v>
      </c>
      <c r="I113" s="11"/>
      <c r="J113" s="1"/>
      <c r="K113" s="1"/>
      <c r="L113" s="1"/>
      <c r="AA113" s="3">
        <f>G112*D5</f>
        <v>0</v>
      </c>
    </row>
    <row r="114" spans="1:27" ht="15.75" x14ac:dyDescent="0.25">
      <c r="A114" s="34"/>
      <c r="B114" s="20"/>
      <c r="C114" s="20"/>
      <c r="D114" s="20"/>
      <c r="E114" s="20"/>
      <c r="F114" s="36"/>
      <c r="G114" s="36"/>
      <c r="H114" s="74"/>
      <c r="I114" s="11"/>
      <c r="J114" s="1"/>
      <c r="K114" s="1"/>
      <c r="L114" s="1"/>
      <c r="AA114" s="2">
        <f>IF(F80&gt;0,F80,IF(PMT(H16-H17,H15,-G74+(G77-G78))&lt;0,0,PMT(H16-H17,H15,-G74+(G77-G78))))</f>
        <v>120.03860743953689</v>
      </c>
    </row>
    <row r="115" spans="1:27" ht="15.75" x14ac:dyDescent="0.25">
      <c r="A115" s="154" t="s">
        <v>98</v>
      </c>
      <c r="B115" s="147" t="s">
        <v>161</v>
      </c>
      <c r="C115" s="148"/>
      <c r="D115" s="150" t="s">
        <v>160</v>
      </c>
      <c r="E115" s="39">
        <v>0</v>
      </c>
      <c r="F115" s="37">
        <v>0</v>
      </c>
      <c r="G115" s="35">
        <f>AA167</f>
        <v>0</v>
      </c>
      <c r="H115" s="59">
        <f>AA168</f>
        <v>0</v>
      </c>
      <c r="I115" s="11"/>
      <c r="J115" s="1"/>
      <c r="K115" s="1"/>
      <c r="L115" s="1"/>
      <c r="AA115" s="2">
        <f>G80*D5</f>
        <v>1200.386074395369</v>
      </c>
    </row>
    <row r="116" spans="1:27" ht="15.75" x14ac:dyDescent="0.25">
      <c r="A116" s="62"/>
      <c r="B116" s="147" t="s">
        <v>161</v>
      </c>
      <c r="C116" s="148"/>
      <c r="D116" s="150" t="s">
        <v>160</v>
      </c>
      <c r="E116" s="39">
        <v>0</v>
      </c>
      <c r="F116" s="37">
        <v>0</v>
      </c>
      <c r="G116" s="35">
        <f>AA169</f>
        <v>0</v>
      </c>
      <c r="H116" s="59">
        <f>AA170</f>
        <v>0</v>
      </c>
      <c r="I116" s="11"/>
      <c r="J116" s="11"/>
      <c r="K116" s="1"/>
      <c r="L116" s="1"/>
      <c r="AA116" s="2" t="str">
        <f>" -OR- Amortized over "&amp;FIXED(H15,0,TRUE)&amp;" years (Leave Dir. Entry at 0)"</f>
        <v xml:space="preserve"> -OR- Amortized over 25 years (Leave Dir. Entry at 0)</v>
      </c>
    </row>
    <row r="117" spans="1:27" ht="15.75" x14ac:dyDescent="0.25">
      <c r="A117" s="62"/>
      <c r="B117" s="147" t="s">
        <v>161</v>
      </c>
      <c r="C117" s="148"/>
      <c r="D117" s="150" t="s">
        <v>160</v>
      </c>
      <c r="E117" s="39">
        <v>0</v>
      </c>
      <c r="F117" s="37">
        <v>0</v>
      </c>
      <c r="G117" s="35">
        <f>AA171</f>
        <v>0</v>
      </c>
      <c r="H117" s="59">
        <f>AA172</f>
        <v>0</v>
      </c>
      <c r="I117" s="11"/>
      <c r="J117" s="11"/>
      <c r="K117" s="1"/>
      <c r="L117" s="1"/>
      <c r="AA117" s="2">
        <f>F86*E86</f>
        <v>372.35999999999996</v>
      </c>
    </row>
    <row r="118" spans="1:27" ht="15.75" x14ac:dyDescent="0.25">
      <c r="A118" s="155" t="s">
        <v>171</v>
      </c>
      <c r="B118" s="63"/>
      <c r="C118" s="20"/>
      <c r="D118" s="20"/>
      <c r="E118" s="53" t="s">
        <v>172</v>
      </c>
      <c r="F118" s="158">
        <v>0</v>
      </c>
      <c r="G118" s="35">
        <f>AA173</f>
        <v>0</v>
      </c>
      <c r="H118" s="59">
        <f>AA174</f>
        <v>0</v>
      </c>
      <c r="I118" s="11"/>
      <c r="J118" s="11"/>
      <c r="K118" s="1"/>
      <c r="L118" s="1"/>
      <c r="AA118" s="2">
        <f>G86*D5</f>
        <v>3723.5999999999995</v>
      </c>
    </row>
    <row r="119" spans="1:27" ht="15.75" x14ac:dyDescent="0.25">
      <c r="A119" s="24"/>
      <c r="B119" s="20"/>
      <c r="C119" s="49"/>
      <c r="D119" s="53" t="s">
        <v>42</v>
      </c>
      <c r="E119" s="75"/>
      <c r="F119" s="36"/>
      <c r="G119" s="49"/>
      <c r="H119" s="29"/>
      <c r="I119" s="11"/>
      <c r="J119" s="11"/>
      <c r="K119" s="1"/>
      <c r="L119" s="1"/>
      <c r="AA119" s="2">
        <f>F87*E87</f>
        <v>200.33500000000001</v>
      </c>
    </row>
    <row r="120" spans="1:27" ht="15.75" x14ac:dyDescent="0.25">
      <c r="A120" s="24"/>
      <c r="B120" s="20"/>
      <c r="C120" s="49"/>
      <c r="D120" s="53" t="s">
        <v>43</v>
      </c>
      <c r="E120" s="75"/>
      <c r="F120" s="36"/>
      <c r="G120" s="53" t="s">
        <v>14</v>
      </c>
      <c r="H120" s="54" t="s">
        <v>15</v>
      </c>
      <c r="I120" s="11"/>
      <c r="J120" s="11"/>
      <c r="K120" s="6" t="s">
        <v>48</v>
      </c>
      <c r="L120" s="1"/>
      <c r="AA120" s="2">
        <f>G87*D5</f>
        <v>2003.3500000000001</v>
      </c>
    </row>
    <row r="121" spans="1:27" ht="15.75" x14ac:dyDescent="0.25">
      <c r="A121" s="152" t="s">
        <v>44</v>
      </c>
      <c r="B121" s="20"/>
      <c r="C121" s="49"/>
      <c r="D121" s="39">
        <v>177</v>
      </c>
      <c r="E121" s="76"/>
      <c r="F121" s="36"/>
      <c r="G121" s="35">
        <f ca="1">AA176</f>
        <v>177</v>
      </c>
      <c r="H121" s="59">
        <f ca="1">AA177</f>
        <v>1770</v>
      </c>
      <c r="I121" s="11"/>
      <c r="J121" s="1"/>
      <c r="K121" s="6" t="s">
        <v>49</v>
      </c>
      <c r="L121" s="1"/>
      <c r="AA121" s="2">
        <f>F89*E89</f>
        <v>46</v>
      </c>
    </row>
    <row r="122" spans="1:27" ht="15.75" x14ac:dyDescent="0.25">
      <c r="A122" s="152" t="s">
        <v>45</v>
      </c>
      <c r="B122" s="20"/>
      <c r="C122" s="20"/>
      <c r="D122" s="39">
        <v>113</v>
      </c>
      <c r="E122" s="76"/>
      <c r="F122" s="36"/>
      <c r="G122" s="35">
        <f ca="1">AA179</f>
        <v>113</v>
      </c>
      <c r="H122" s="59">
        <f ca="1">AA180</f>
        <v>1130</v>
      </c>
      <c r="I122" s="11"/>
      <c r="J122" s="1"/>
      <c r="K122" s="6" t="s">
        <v>53</v>
      </c>
      <c r="L122" s="1"/>
      <c r="AA122" s="2">
        <f>G89*D5</f>
        <v>460</v>
      </c>
    </row>
    <row r="123" spans="1:27" ht="15.75" x14ac:dyDescent="0.25">
      <c r="A123" s="152" t="s">
        <v>46</v>
      </c>
      <c r="B123" s="20"/>
      <c r="C123" s="20"/>
      <c r="D123" s="39">
        <v>0</v>
      </c>
      <c r="E123" s="76"/>
      <c r="F123" s="20"/>
      <c r="G123" s="35">
        <f ca="1">AA182</f>
        <v>0</v>
      </c>
      <c r="H123" s="59">
        <f ca="1">AA183</f>
        <v>0</v>
      </c>
      <c r="I123" s="11"/>
      <c r="J123" s="11"/>
      <c r="K123" s="6" t="s">
        <v>55</v>
      </c>
      <c r="L123" s="1"/>
      <c r="AA123" s="2">
        <f>F90*E90</f>
        <v>0</v>
      </c>
    </row>
    <row r="124" spans="1:27" ht="15.75" x14ac:dyDescent="0.25">
      <c r="A124" s="152" t="s">
        <v>128</v>
      </c>
      <c r="B124" s="20"/>
      <c r="C124" s="20"/>
      <c r="D124" s="39">
        <v>0</v>
      </c>
      <c r="E124" s="76"/>
      <c r="F124" s="20"/>
      <c r="G124" s="35">
        <f ca="1">AA185</f>
        <v>0</v>
      </c>
      <c r="H124" s="59">
        <f ca="1">AA186</f>
        <v>0</v>
      </c>
      <c r="I124" s="11"/>
      <c r="J124" s="11"/>
      <c r="K124" s="6" t="s">
        <v>56</v>
      </c>
      <c r="L124" s="1"/>
      <c r="AA124" s="2">
        <f>G90*D5</f>
        <v>0</v>
      </c>
    </row>
    <row r="125" spans="1:27" ht="15.75" x14ac:dyDescent="0.25">
      <c r="A125" s="155" t="s">
        <v>47</v>
      </c>
      <c r="B125" s="20"/>
      <c r="C125" s="20"/>
      <c r="D125" s="39">
        <v>0</v>
      </c>
      <c r="E125" s="76"/>
      <c r="F125" s="36"/>
      <c r="G125" s="35">
        <f ca="1">AA188</f>
        <v>0</v>
      </c>
      <c r="H125" s="59">
        <f ca="1">AA189</f>
        <v>0</v>
      </c>
      <c r="I125" s="11"/>
      <c r="J125" s="11"/>
      <c r="K125" s="1"/>
      <c r="L125" s="1"/>
      <c r="AA125" s="2">
        <f>F91*E91</f>
        <v>0</v>
      </c>
    </row>
    <row r="126" spans="1:27" ht="15.75" x14ac:dyDescent="0.25">
      <c r="A126" s="156" t="s">
        <v>167</v>
      </c>
      <c r="B126" s="20"/>
      <c r="C126" s="20"/>
      <c r="D126" s="20"/>
      <c r="E126" s="77"/>
      <c r="F126" s="20"/>
      <c r="G126" s="20"/>
      <c r="H126" s="74"/>
      <c r="I126" s="11"/>
      <c r="J126" s="11"/>
      <c r="K126" s="1"/>
      <c r="L126" s="1"/>
      <c r="AA126" s="2">
        <f>G91*D5</f>
        <v>0</v>
      </c>
    </row>
    <row r="127" spans="1:27" ht="15.75" x14ac:dyDescent="0.25">
      <c r="A127" s="34" t="s">
        <v>50</v>
      </c>
      <c r="B127" s="20"/>
      <c r="C127" s="53" t="s">
        <v>51</v>
      </c>
      <c r="D127" s="53" t="s">
        <v>52</v>
      </c>
      <c r="E127" s="78"/>
      <c r="F127" s="36"/>
      <c r="G127" s="49"/>
      <c r="H127" s="74"/>
      <c r="I127" s="11"/>
      <c r="J127" s="5">
        <f ca="1">AA195</f>
        <v>372</v>
      </c>
      <c r="K127" s="6" t="s">
        <v>58</v>
      </c>
      <c r="L127" s="1"/>
      <c r="AA127" s="157">
        <f>E113*F113</f>
        <v>0</v>
      </c>
    </row>
    <row r="128" spans="1:27" ht="15.75" x14ac:dyDescent="0.25">
      <c r="A128" s="34" t="s">
        <v>54</v>
      </c>
      <c r="B128" s="20"/>
      <c r="C128" s="39">
        <v>4.95</v>
      </c>
      <c r="D128" s="39">
        <v>50</v>
      </c>
      <c r="E128" s="76"/>
      <c r="F128" s="36"/>
      <c r="G128" s="35">
        <f ca="1">AA191</f>
        <v>37.200000000000003</v>
      </c>
      <c r="H128" s="59">
        <f ca="1">AA192</f>
        <v>372</v>
      </c>
      <c r="I128" s="11"/>
      <c r="J128" s="11"/>
      <c r="K128" s="11"/>
      <c r="L128" s="1"/>
      <c r="AA128" s="2">
        <f>G113*D5</f>
        <v>0</v>
      </c>
    </row>
    <row r="129" spans="1:27" ht="15.75" x14ac:dyDescent="0.25">
      <c r="A129" s="24"/>
      <c r="B129" s="20"/>
      <c r="C129" s="49"/>
      <c r="D129" s="20"/>
      <c r="E129" s="77"/>
      <c r="F129" s="36"/>
      <c r="G129" s="53" t="s">
        <v>31</v>
      </c>
      <c r="H129" s="54" t="s">
        <v>31</v>
      </c>
      <c r="I129" s="11"/>
      <c r="J129" s="11"/>
      <c r="K129" s="11"/>
      <c r="L129" s="1"/>
    </row>
    <row r="130" spans="1:27" ht="15.75" x14ac:dyDescent="0.25">
      <c r="A130" s="34" t="s">
        <v>57</v>
      </c>
      <c r="B130" s="20"/>
      <c r="C130" s="49"/>
      <c r="D130" s="20"/>
      <c r="E130" s="77"/>
      <c r="F130" s="49"/>
      <c r="G130" s="35">
        <f ca="1">AA193</f>
        <v>1538.895</v>
      </c>
      <c r="H130" s="59">
        <f ca="1">AA194</f>
        <v>15388.95</v>
      </c>
      <c r="I130" s="1"/>
      <c r="J130" s="1"/>
      <c r="K130" s="1"/>
      <c r="L130" s="1"/>
    </row>
    <row r="131" spans="1:27" ht="15.75" x14ac:dyDescent="0.25">
      <c r="A131" s="34"/>
      <c r="B131" s="20"/>
      <c r="C131" s="49"/>
      <c r="D131" s="20"/>
      <c r="E131" s="77"/>
      <c r="F131" s="36"/>
      <c r="G131" s="49"/>
      <c r="H131" s="74"/>
      <c r="I131" s="11"/>
      <c r="J131" s="1"/>
      <c r="K131" s="1"/>
      <c r="L131" s="1"/>
      <c r="AA131" s="2">
        <f>131/65</f>
        <v>2.0153846153846153</v>
      </c>
    </row>
    <row r="132" spans="1:27" ht="15.75" x14ac:dyDescent="0.25">
      <c r="A132" s="24"/>
      <c r="B132" s="20"/>
      <c r="C132" s="49"/>
      <c r="D132" s="53" t="s">
        <v>42</v>
      </c>
      <c r="E132" s="75"/>
      <c r="F132" s="36"/>
      <c r="G132" s="49"/>
      <c r="H132" s="74"/>
      <c r="I132" s="11"/>
      <c r="J132" s="1"/>
      <c r="K132" s="1"/>
      <c r="L132" s="1"/>
      <c r="AA132" s="2">
        <f>F95*E95</f>
        <v>57</v>
      </c>
    </row>
    <row r="133" spans="1:27" ht="15.75" x14ac:dyDescent="0.25">
      <c r="A133" s="34" t="s">
        <v>33</v>
      </c>
      <c r="B133" s="20"/>
      <c r="C133" s="20"/>
      <c r="D133" s="53" t="s">
        <v>43</v>
      </c>
      <c r="E133" s="75"/>
      <c r="F133" s="20"/>
      <c r="G133" s="53" t="s">
        <v>14</v>
      </c>
      <c r="H133" s="54" t="s">
        <v>15</v>
      </c>
      <c r="I133" s="11"/>
      <c r="J133" s="1"/>
      <c r="K133" s="6" t="s">
        <v>60</v>
      </c>
      <c r="L133" s="1"/>
      <c r="AA133" s="2">
        <f>G95*D5</f>
        <v>570</v>
      </c>
    </row>
    <row r="134" spans="1:27" ht="15.75" x14ac:dyDescent="0.25">
      <c r="A134" s="152" t="s">
        <v>102</v>
      </c>
      <c r="B134" s="20"/>
      <c r="C134" s="20"/>
      <c r="D134" s="39">
        <v>165</v>
      </c>
      <c r="E134" s="76"/>
      <c r="F134" s="36"/>
      <c r="G134" s="35">
        <f ca="1">AA197</f>
        <v>165</v>
      </c>
      <c r="H134" s="59">
        <f ca="1">AA198</f>
        <v>1650</v>
      </c>
      <c r="I134" s="11"/>
      <c r="J134" s="1"/>
      <c r="K134" s="6" t="s">
        <v>62</v>
      </c>
      <c r="L134" s="1"/>
      <c r="AA134" s="2">
        <f>F96*E96</f>
        <v>0</v>
      </c>
    </row>
    <row r="135" spans="1:27" ht="15.75" x14ac:dyDescent="0.25">
      <c r="A135" s="152" t="s">
        <v>101</v>
      </c>
      <c r="B135" s="20"/>
      <c r="C135" s="20"/>
      <c r="D135" s="39">
        <v>54</v>
      </c>
      <c r="E135" s="76"/>
      <c r="F135" s="20"/>
      <c r="G135" s="35">
        <f ca="1">AA200</f>
        <v>54</v>
      </c>
      <c r="H135" s="59">
        <f ca="1">AA201</f>
        <v>540</v>
      </c>
      <c r="I135" s="11"/>
      <c r="J135" s="1"/>
      <c r="K135" s="6" t="s">
        <v>63</v>
      </c>
      <c r="L135" s="1"/>
      <c r="AA135" s="2">
        <f>G96*D5</f>
        <v>0</v>
      </c>
    </row>
    <row r="136" spans="1:27" ht="15.75" x14ac:dyDescent="0.25">
      <c r="A136" s="152" t="s">
        <v>129</v>
      </c>
      <c r="B136" s="20"/>
      <c r="C136" s="20"/>
      <c r="D136" s="39">
        <v>0</v>
      </c>
      <c r="E136" s="76"/>
      <c r="F136" s="36"/>
      <c r="G136" s="35">
        <f ca="1">AA203</f>
        <v>0</v>
      </c>
      <c r="H136" s="59">
        <f ca="1">AA204</f>
        <v>0</v>
      </c>
      <c r="I136" s="11"/>
      <c r="J136" s="11"/>
      <c r="K136" s="6" t="s">
        <v>65</v>
      </c>
      <c r="L136" s="1"/>
      <c r="AA136" s="2">
        <f>115/42</f>
        <v>2.7380952380952381</v>
      </c>
    </row>
    <row r="137" spans="1:27" ht="15.75" x14ac:dyDescent="0.25">
      <c r="A137" s="152" t="s">
        <v>148</v>
      </c>
      <c r="B137" s="20"/>
      <c r="C137" s="49"/>
      <c r="D137" s="39">
        <v>0</v>
      </c>
      <c r="E137" s="79"/>
      <c r="F137" s="79"/>
      <c r="G137" s="35">
        <f>AA164</f>
        <v>0</v>
      </c>
      <c r="H137" s="59">
        <f>AA165</f>
        <v>0</v>
      </c>
      <c r="I137" s="11"/>
      <c r="J137" s="11"/>
      <c r="K137" s="11"/>
      <c r="L137" s="1"/>
      <c r="AA137" s="2">
        <f>F98*E98</f>
        <v>250</v>
      </c>
    </row>
    <row r="138" spans="1:27" ht="15.75" x14ac:dyDescent="0.25">
      <c r="A138" s="155" t="s">
        <v>59</v>
      </c>
      <c r="B138" s="20"/>
      <c r="C138" s="20"/>
      <c r="D138" s="39">
        <v>281</v>
      </c>
      <c r="E138" s="76"/>
      <c r="F138" s="79"/>
      <c r="G138" s="35">
        <f ca="1">AA206</f>
        <v>281</v>
      </c>
      <c r="H138" s="59">
        <f ca="1">AA207</f>
        <v>2810</v>
      </c>
      <c r="I138" s="1"/>
      <c r="J138" s="1"/>
      <c r="K138" s="1"/>
      <c r="L138" s="1"/>
      <c r="AA138" s="2">
        <f>G98*D5</f>
        <v>2500</v>
      </c>
    </row>
    <row r="139" spans="1:27" ht="15.75" x14ac:dyDescent="0.25">
      <c r="A139" s="121" t="s">
        <v>140</v>
      </c>
      <c r="B139" s="20"/>
      <c r="C139" s="20"/>
      <c r="D139" s="20"/>
      <c r="E139" s="20"/>
      <c r="F139" s="79"/>
      <c r="G139" s="35">
        <f>G80</f>
        <v>120.03860743953689</v>
      </c>
      <c r="H139" s="59">
        <f>H80</f>
        <v>1200.386074395369</v>
      </c>
      <c r="I139" s="11"/>
      <c r="J139" s="11"/>
      <c r="K139" s="11"/>
      <c r="L139" s="1"/>
      <c r="AA139" s="2">
        <f>F99*E99</f>
        <v>0</v>
      </c>
    </row>
    <row r="140" spans="1:27" ht="15.75" x14ac:dyDescent="0.25">
      <c r="A140" s="34"/>
      <c r="B140" s="20"/>
      <c r="C140" s="20"/>
      <c r="D140" s="80"/>
      <c r="E140" s="76"/>
      <c r="F140" s="36"/>
      <c r="G140" s="35"/>
      <c r="H140" s="59"/>
      <c r="I140" s="11"/>
      <c r="J140" s="11"/>
      <c r="K140" s="11"/>
      <c r="L140" s="1"/>
      <c r="AA140" s="2">
        <f>G99*D5</f>
        <v>0</v>
      </c>
    </row>
    <row r="141" spans="1:27" ht="15.75" x14ac:dyDescent="0.25">
      <c r="A141" s="24"/>
      <c r="B141" s="20"/>
      <c r="C141" s="20"/>
      <c r="D141" s="20"/>
      <c r="E141" s="20"/>
      <c r="F141" s="36"/>
      <c r="G141" s="22" t="s">
        <v>31</v>
      </c>
      <c r="H141" s="81" t="s">
        <v>31</v>
      </c>
      <c r="I141" s="11"/>
      <c r="J141" s="11"/>
      <c r="K141" s="11"/>
      <c r="L141" s="1"/>
      <c r="AA141" s="2">
        <f>12/3</f>
        <v>4</v>
      </c>
    </row>
    <row r="142" spans="1:27" ht="15.75" x14ac:dyDescent="0.25">
      <c r="A142" s="66" t="s">
        <v>61</v>
      </c>
      <c r="B142" s="67"/>
      <c r="C142" s="67"/>
      <c r="D142" s="67"/>
      <c r="E142" s="67"/>
      <c r="F142" s="68"/>
      <c r="G142" s="69">
        <f ca="1">AA208</f>
        <v>620.03860743953692</v>
      </c>
      <c r="H142" s="70">
        <f ca="1">AA209</f>
        <v>6200.3860743953692</v>
      </c>
      <c r="I142" s="11"/>
      <c r="J142" s="11"/>
      <c r="K142" s="11"/>
      <c r="L142" s="1"/>
      <c r="AA142" s="2">
        <f>F101*E101</f>
        <v>155</v>
      </c>
    </row>
    <row r="143" spans="1:27" ht="15.75" x14ac:dyDescent="0.25">
      <c r="A143" s="27"/>
      <c r="B143" s="27"/>
      <c r="C143" s="27"/>
      <c r="D143" s="27"/>
      <c r="E143" s="27"/>
      <c r="F143" s="27"/>
      <c r="G143" s="27"/>
      <c r="H143" s="27"/>
      <c r="I143" s="11"/>
      <c r="J143" s="11"/>
      <c r="K143" s="11"/>
      <c r="L143" s="1"/>
      <c r="AA143" s="2">
        <f>G101*D5</f>
        <v>1550</v>
      </c>
    </row>
    <row r="144" spans="1:27" ht="15.75" x14ac:dyDescent="0.25">
      <c r="A144" s="16" t="s">
        <v>64</v>
      </c>
      <c r="B144" s="20"/>
      <c r="C144" s="20"/>
      <c r="D144" s="20"/>
      <c r="E144" s="53" t="s">
        <v>14</v>
      </c>
      <c r="F144" s="53" t="s">
        <v>15</v>
      </c>
      <c r="G144" s="82"/>
      <c r="H144" s="83"/>
      <c r="I144" s="1"/>
      <c r="J144" s="1"/>
      <c r="K144" s="1"/>
      <c r="L144" s="1"/>
      <c r="AA144" s="2">
        <f>F102*E102</f>
        <v>0</v>
      </c>
    </row>
    <row r="145" spans="1:27" ht="15.75" x14ac:dyDescent="0.25">
      <c r="A145" s="34" t="s">
        <v>66</v>
      </c>
      <c r="B145" s="20"/>
      <c r="C145" s="20"/>
      <c r="D145" s="20"/>
      <c r="E145" s="114">
        <f>AA210</f>
        <v>4</v>
      </c>
      <c r="F145" s="114">
        <f>AA211</f>
        <v>40</v>
      </c>
      <c r="G145" s="84"/>
      <c r="H145" s="74"/>
      <c r="I145" s="1"/>
      <c r="J145" s="1"/>
      <c r="K145" s="1"/>
      <c r="L145" s="1"/>
      <c r="AA145" s="2">
        <f>G102*D5</f>
        <v>0</v>
      </c>
    </row>
    <row r="146" spans="1:27" ht="15.75" x14ac:dyDescent="0.25">
      <c r="A146" s="34" t="s">
        <v>67</v>
      </c>
      <c r="B146" s="20"/>
      <c r="C146" s="20"/>
      <c r="D146" s="20"/>
      <c r="E146" s="114">
        <f>AA212</f>
        <v>0</v>
      </c>
      <c r="F146" s="114">
        <f>AA213</f>
        <v>0</v>
      </c>
      <c r="G146" s="36"/>
      <c r="H146" s="74"/>
      <c r="I146" s="1"/>
      <c r="J146" s="1"/>
      <c r="K146" s="1"/>
      <c r="L146" s="1"/>
    </row>
    <row r="147" spans="1:27" ht="15.75" x14ac:dyDescent="0.25">
      <c r="A147" s="34" t="s">
        <v>68</v>
      </c>
      <c r="B147" s="20"/>
      <c r="C147" s="20"/>
      <c r="D147" s="20"/>
      <c r="E147" s="114">
        <f ca="1">AA214</f>
        <v>1538.895</v>
      </c>
      <c r="F147" s="114">
        <f ca="1">AA215</f>
        <v>15388.95</v>
      </c>
      <c r="G147" s="20"/>
      <c r="H147" s="74"/>
      <c r="I147" s="1" t="s">
        <v>109</v>
      </c>
      <c r="J147" s="1"/>
      <c r="K147" s="1"/>
      <c r="L147" s="1"/>
    </row>
    <row r="148" spans="1:27" ht="15.75" x14ac:dyDescent="0.25">
      <c r="A148" s="24"/>
      <c r="B148" s="20"/>
      <c r="C148" s="20"/>
      <c r="D148" s="20"/>
      <c r="E148" s="114" t="s">
        <v>31</v>
      </c>
      <c r="F148" s="114" t="s">
        <v>31</v>
      </c>
      <c r="G148" s="20"/>
      <c r="H148" s="29"/>
      <c r="I148" s="1" t="s">
        <v>110</v>
      </c>
      <c r="J148" s="1"/>
      <c r="K148" s="1"/>
      <c r="L148" s="1"/>
    </row>
    <row r="149" spans="1:27" ht="15.75" x14ac:dyDescent="0.25">
      <c r="A149" s="34" t="s">
        <v>69</v>
      </c>
      <c r="B149" s="20"/>
      <c r="C149" s="20"/>
      <c r="D149" s="20"/>
      <c r="E149" s="114">
        <f ca="1">AA216</f>
        <v>-1534.895</v>
      </c>
      <c r="F149" s="114">
        <f ca="1">AA217</f>
        <v>-15348.95</v>
      </c>
      <c r="G149" s="49"/>
      <c r="H149" s="45"/>
      <c r="I149" s="1" t="s">
        <v>111</v>
      </c>
      <c r="J149" s="1"/>
      <c r="K149" s="1"/>
      <c r="L149" s="1"/>
    </row>
    <row r="150" spans="1:27" ht="15.75" x14ac:dyDescent="0.25">
      <c r="A150" s="34" t="s">
        <v>70</v>
      </c>
      <c r="B150" s="20"/>
      <c r="C150" s="20"/>
      <c r="D150" s="20"/>
      <c r="E150" s="114">
        <f ca="1">AA218</f>
        <v>620.03860743953692</v>
      </c>
      <c r="F150" s="114">
        <f ca="1">AA219</f>
        <v>6200.3860743953692</v>
      </c>
      <c r="G150" s="49"/>
      <c r="H150" s="45"/>
      <c r="I150" s="1"/>
      <c r="J150" s="1"/>
      <c r="K150" s="1"/>
      <c r="L150" s="1"/>
      <c r="AA150" s="2">
        <f>F106*E106</f>
        <v>0</v>
      </c>
    </row>
    <row r="151" spans="1:27" ht="15.75" x14ac:dyDescent="0.25">
      <c r="A151" s="24"/>
      <c r="B151" s="20"/>
      <c r="C151" s="49"/>
      <c r="D151" s="20"/>
      <c r="E151" s="114" t="s">
        <v>31</v>
      </c>
      <c r="F151" s="114" t="s">
        <v>31</v>
      </c>
      <c r="G151" s="49"/>
      <c r="H151" s="45"/>
      <c r="I151" s="1"/>
      <c r="J151" s="1"/>
      <c r="K151" s="1"/>
      <c r="L151" s="1"/>
      <c r="AA151" s="2">
        <f>G106*D5</f>
        <v>0</v>
      </c>
    </row>
    <row r="152" spans="1:27" ht="15.75" x14ac:dyDescent="0.25">
      <c r="A152" s="34" t="s">
        <v>71</v>
      </c>
      <c r="B152" s="20"/>
      <c r="C152" s="49"/>
      <c r="D152" s="20"/>
      <c r="E152" s="114">
        <f ca="1">AA220</f>
        <v>-2154.9336074395369</v>
      </c>
      <c r="F152" s="114">
        <f ca="1">AA221</f>
        <v>-21549.336074395371</v>
      </c>
      <c r="G152" s="49"/>
      <c r="H152" s="45"/>
      <c r="I152" s="11"/>
      <c r="J152" s="1"/>
      <c r="K152" s="1"/>
      <c r="L152" s="1"/>
      <c r="AA152" s="2">
        <f>F107*E107</f>
        <v>0</v>
      </c>
    </row>
    <row r="153" spans="1:27" ht="15.75" x14ac:dyDescent="0.25">
      <c r="A153" s="24"/>
      <c r="B153" s="20"/>
      <c r="C153" s="49"/>
      <c r="D153" s="20"/>
      <c r="E153" s="20"/>
      <c r="F153" s="36"/>
      <c r="G153" s="49"/>
      <c r="H153" s="45"/>
      <c r="I153" s="11"/>
      <c r="J153" s="1"/>
      <c r="K153" s="1"/>
      <c r="L153" s="1"/>
      <c r="AA153" s="2">
        <f>G107*D5</f>
        <v>0</v>
      </c>
    </row>
    <row r="154" spans="1:27" ht="15.75" x14ac:dyDescent="0.25">
      <c r="A154" s="34" t="s">
        <v>127</v>
      </c>
      <c r="B154" s="20"/>
      <c r="C154" s="49"/>
      <c r="D154" s="20"/>
      <c r="E154" s="22" t="s">
        <v>72</v>
      </c>
      <c r="F154" s="20"/>
      <c r="G154" s="43">
        <f ca="1">AA222</f>
        <v>769.44749999999999</v>
      </c>
      <c r="H154" s="74"/>
      <c r="I154" s="8">
        <f ca="1">AA225</f>
        <v>-2154.9336074395369</v>
      </c>
      <c r="J154" s="1"/>
      <c r="K154" s="1"/>
      <c r="L154" s="1"/>
      <c r="AA154" s="2">
        <f>F108*E108</f>
        <v>83</v>
      </c>
    </row>
    <row r="155" spans="1:27" ht="15.75" hidden="1" x14ac:dyDescent="0.25">
      <c r="A155" s="24"/>
      <c r="B155" s="20"/>
      <c r="C155" s="49"/>
      <c r="D155" s="20"/>
      <c r="E155" s="22" t="s">
        <v>73</v>
      </c>
      <c r="F155" s="36"/>
      <c r="G155" s="43">
        <f ca="1">AA223</f>
        <v>310.01930371976846</v>
      </c>
      <c r="H155" s="45"/>
      <c r="I155" s="8">
        <f>AA226</f>
        <v>1</v>
      </c>
      <c r="J155" s="1"/>
      <c r="K155" s="1"/>
      <c r="L155" s="1"/>
      <c r="AA155" s="2">
        <f>G108*D5</f>
        <v>830</v>
      </c>
    </row>
    <row r="156" spans="1:27" ht="15.75" hidden="1" x14ac:dyDescent="0.25">
      <c r="A156" s="24"/>
      <c r="B156" s="20"/>
      <c r="C156" s="20"/>
      <c r="D156" s="20"/>
      <c r="E156" s="36"/>
      <c r="F156" s="36"/>
      <c r="G156" s="53" t="s">
        <v>31</v>
      </c>
      <c r="H156" s="45"/>
      <c r="I156" s="8">
        <f>AA227</f>
        <v>1</v>
      </c>
      <c r="J156" s="1"/>
      <c r="K156" s="1"/>
      <c r="L156" s="1"/>
      <c r="AA156" s="2">
        <f>IF(UPPER(LEFT(D21,1))="Y",1,0)</f>
        <v>0</v>
      </c>
    </row>
    <row r="157" spans="1:27" ht="15.75" hidden="1" x14ac:dyDescent="0.25">
      <c r="A157" s="85"/>
      <c r="B157" s="20"/>
      <c r="C157" s="20"/>
      <c r="D157" s="20"/>
      <c r="E157" s="22" t="s">
        <v>74</v>
      </c>
      <c r="F157" s="36"/>
      <c r="G157" s="43">
        <f ca="1">AA224</f>
        <v>1079.4668037197684</v>
      </c>
      <c r="H157" s="45"/>
      <c r="I157" s="8">
        <f>AA228</f>
        <v>3</v>
      </c>
      <c r="J157" s="11"/>
      <c r="K157" s="1"/>
      <c r="L157" s="1"/>
      <c r="AA157" s="12">
        <f>D15</f>
        <v>9.9999999999999998E-17</v>
      </c>
    </row>
    <row r="158" spans="1:27" ht="15.75" hidden="1" x14ac:dyDescent="0.25">
      <c r="A158" s="27"/>
      <c r="B158" s="27"/>
      <c r="C158" s="27"/>
      <c r="D158" s="27"/>
      <c r="E158" s="27"/>
      <c r="F158" s="27"/>
      <c r="G158" s="27"/>
      <c r="H158" s="27"/>
      <c r="I158" s="11"/>
      <c r="J158" s="11"/>
      <c r="K158" s="1"/>
      <c r="L158" s="1"/>
      <c r="AA158" s="2">
        <f>F109*E109</f>
        <v>0</v>
      </c>
    </row>
    <row r="159" spans="1:27" ht="15.75" hidden="1" x14ac:dyDescent="0.25">
      <c r="A159" s="24"/>
      <c r="B159" s="20"/>
      <c r="C159" s="20"/>
      <c r="D159" s="20"/>
      <c r="E159" s="20"/>
      <c r="F159" s="20"/>
      <c r="G159" s="20"/>
      <c r="H159" s="29"/>
      <c r="I159" s="8">
        <f ca="1">AA230</f>
        <v>718.31120247984563</v>
      </c>
      <c r="J159" s="8">
        <f ca="1">AA231</f>
        <v>718.31120247984563</v>
      </c>
      <c r="K159" s="1"/>
      <c r="L159" s="1"/>
      <c r="AA159" s="2">
        <f>G109*D5</f>
        <v>0</v>
      </c>
    </row>
    <row r="160" spans="1:27" ht="15.75" hidden="1" x14ac:dyDescent="0.25">
      <c r="A160" s="24"/>
      <c r="B160" s="20"/>
      <c r="C160" s="20"/>
      <c r="D160" s="20"/>
      <c r="E160" s="20"/>
      <c r="F160" s="20"/>
      <c r="G160" s="20"/>
      <c r="H160" s="29"/>
      <c r="I160" s="8">
        <f ca="1">AA233</f>
        <v>5.9740378447099866E-3</v>
      </c>
      <c r="J160" s="8">
        <f ca="1">AA234</f>
        <v>5.9740378447099866E-3</v>
      </c>
      <c r="K160" s="1"/>
      <c r="L160" s="1"/>
      <c r="AA160" s="2">
        <f>F110*E110</f>
        <v>48</v>
      </c>
    </row>
    <row r="161" spans="1:27" ht="15.75" hidden="1" x14ac:dyDescent="0.25">
      <c r="A161" s="24"/>
      <c r="B161" s="20"/>
      <c r="C161" s="20"/>
      <c r="D161" s="20"/>
      <c r="E161" s="20"/>
      <c r="F161" s="20"/>
      <c r="G161" s="20"/>
      <c r="H161" s="29"/>
      <c r="I161" s="8">
        <f ca="1">AA236</f>
        <v>0</v>
      </c>
      <c r="J161" s="8">
        <f ca="1">AA237</f>
        <v>0</v>
      </c>
      <c r="K161" s="1"/>
      <c r="L161" s="1"/>
      <c r="AA161" s="2">
        <f>G110*D5</f>
        <v>480</v>
      </c>
    </row>
    <row r="162" spans="1:27" ht="15.75" hidden="1" x14ac:dyDescent="0.25">
      <c r="A162" s="24"/>
      <c r="B162" s="20"/>
      <c r="C162" s="20"/>
      <c r="D162" s="20"/>
      <c r="E162" s="20"/>
      <c r="F162" s="20"/>
      <c r="G162" s="20"/>
      <c r="H162" s="29"/>
      <c r="I162" s="8">
        <f ca="1">AA238</f>
        <v>0</v>
      </c>
      <c r="J162" s="8">
        <f ca="1">AA239</f>
        <v>0</v>
      </c>
      <c r="K162" s="1"/>
      <c r="L162" s="1"/>
      <c r="AA162" s="2">
        <f>F111*E111</f>
        <v>0</v>
      </c>
    </row>
    <row r="163" spans="1:27" ht="15.75" x14ac:dyDescent="0.25">
      <c r="A163" s="24"/>
      <c r="B163" s="20"/>
      <c r="C163" s="20"/>
      <c r="D163" s="20"/>
      <c r="E163" s="20"/>
      <c r="F163" s="20"/>
      <c r="G163" s="20"/>
      <c r="H163" s="29"/>
      <c r="I163" s="11"/>
      <c r="J163" s="1"/>
      <c r="K163" s="1"/>
      <c r="L163" s="1"/>
      <c r="AA163" s="2">
        <f>G111*D5</f>
        <v>0</v>
      </c>
    </row>
    <row r="164" spans="1:27" ht="15.75" x14ac:dyDescent="0.25">
      <c r="A164" s="24"/>
      <c r="B164" s="20"/>
      <c r="C164" s="20"/>
      <c r="D164" s="20"/>
      <c r="E164" s="20"/>
      <c r="F164" s="20"/>
      <c r="G164" s="20"/>
      <c r="H164" s="29"/>
      <c r="I164" s="1"/>
      <c r="J164" s="1"/>
      <c r="K164" s="1"/>
      <c r="L164" s="1"/>
      <c r="AA164" s="2">
        <f>D137</f>
        <v>0</v>
      </c>
    </row>
    <row r="165" spans="1:27" ht="15.75" x14ac:dyDescent="0.25">
      <c r="A165" s="24"/>
      <c r="B165" s="20"/>
      <c r="C165" s="20"/>
      <c r="D165" s="20"/>
      <c r="E165" s="20"/>
      <c r="F165" s="20"/>
      <c r="G165" s="20"/>
      <c r="H165" s="29"/>
      <c r="I165" s="1"/>
      <c r="J165" s="1"/>
      <c r="K165" s="1"/>
      <c r="L165" s="1"/>
      <c r="AA165" s="2">
        <f>G137*D5</f>
        <v>0</v>
      </c>
    </row>
    <row r="166" spans="1:27" ht="15.75" x14ac:dyDescent="0.25">
      <c r="A166" s="24"/>
      <c r="B166" s="20"/>
      <c r="C166" s="20"/>
      <c r="D166" s="20"/>
      <c r="E166" s="20"/>
      <c r="F166" s="20"/>
      <c r="G166" s="20"/>
      <c r="H166" s="29"/>
      <c r="I166" s="1"/>
      <c r="J166" s="1"/>
      <c r="K166" s="1"/>
      <c r="L166" s="1"/>
      <c r="AA166" s="2">
        <f>200/25</f>
        <v>8</v>
      </c>
    </row>
    <row r="167" spans="1:27" ht="15.75" x14ac:dyDescent="0.25">
      <c r="A167" s="24"/>
      <c r="B167" s="22" t="s">
        <v>75</v>
      </c>
      <c r="C167" s="20"/>
      <c r="D167" s="20"/>
      <c r="E167" s="36"/>
      <c r="F167" s="36"/>
      <c r="G167" s="86">
        <f ca="1">AA229</f>
        <v>0</v>
      </c>
      <c r="H167" s="45"/>
      <c r="I167" s="1"/>
      <c r="J167" s="1"/>
      <c r="K167" s="1"/>
      <c r="L167" s="1"/>
      <c r="AA167" s="2">
        <f>F115*E115</f>
        <v>0</v>
      </c>
    </row>
    <row r="168" spans="1:27" ht="15.75" x14ac:dyDescent="0.25">
      <c r="A168" s="24"/>
      <c r="B168" s="22" t="s">
        <v>76</v>
      </c>
      <c r="C168" s="20"/>
      <c r="D168" s="39">
        <v>0</v>
      </c>
      <c r="E168" s="22" t="s">
        <v>77</v>
      </c>
      <c r="F168" s="36"/>
      <c r="G168" s="86">
        <f ca="1">AA232</f>
        <v>0</v>
      </c>
      <c r="H168" s="45"/>
      <c r="I168" s="1"/>
      <c r="J168" s="1"/>
      <c r="K168" s="1"/>
      <c r="L168" s="1"/>
      <c r="AA168" s="2">
        <f>G115*D5</f>
        <v>0</v>
      </c>
    </row>
    <row r="169" spans="1:27" ht="15.75" x14ac:dyDescent="0.25">
      <c r="A169" s="24"/>
      <c r="B169" s="22"/>
      <c r="C169" s="20"/>
      <c r="D169" s="87"/>
      <c r="E169" s="22"/>
      <c r="F169" s="36"/>
      <c r="G169" s="86"/>
      <c r="H169" s="45"/>
      <c r="I169" s="1"/>
      <c r="J169" s="1"/>
      <c r="K169" s="1"/>
      <c r="L169" s="1"/>
      <c r="AA169" s="2">
        <f>F116*E116</f>
        <v>0</v>
      </c>
    </row>
    <row r="170" spans="1:27" ht="15.75" x14ac:dyDescent="0.25">
      <c r="A170" s="24"/>
      <c r="B170" s="88"/>
      <c r="C170" s="89" t="s">
        <v>107</v>
      </c>
      <c r="D170" s="90" t="s">
        <v>108</v>
      </c>
      <c r="E170" s="20"/>
      <c r="F170" s="84"/>
      <c r="G170" s="43">
        <f>AA235</f>
        <v>0.75</v>
      </c>
      <c r="H170" s="91" t="str">
        <f>IF(G170&lt;=0.2499,"Low Risk",IF(AND(G170&gt;0.2499,G170&lt;0.4),"Moderate Risk","High Risk"))</f>
        <v>High Risk</v>
      </c>
      <c r="I170" s="1"/>
      <c r="J170" s="1"/>
      <c r="K170" s="1"/>
      <c r="L170" s="1"/>
      <c r="AA170" s="2">
        <f>G116*D5</f>
        <v>0</v>
      </c>
    </row>
    <row r="171" spans="1:27" ht="15.75" x14ac:dyDescent="0.25">
      <c r="A171" s="24"/>
      <c r="B171" s="20"/>
      <c r="C171" s="20"/>
      <c r="D171" s="20"/>
      <c r="E171" s="36"/>
      <c r="F171" s="36"/>
      <c r="G171" s="49"/>
      <c r="H171" s="92" t="s">
        <v>78</v>
      </c>
      <c r="I171" s="1"/>
      <c r="J171" s="1"/>
      <c r="K171" s="1"/>
      <c r="L171" s="1"/>
      <c r="AA171" s="2">
        <f>F117*E117</f>
        <v>0</v>
      </c>
    </row>
    <row r="172" spans="1:27" ht="15.75" x14ac:dyDescent="0.25">
      <c r="A172" s="24"/>
      <c r="B172" s="20"/>
      <c r="C172" s="53" t="s">
        <v>79</v>
      </c>
      <c r="D172" s="93"/>
      <c r="E172" s="53" t="s">
        <v>80</v>
      </c>
      <c r="F172" s="43"/>
      <c r="G172" s="49"/>
      <c r="H172" s="92" t="s">
        <v>81</v>
      </c>
      <c r="I172" s="1"/>
      <c r="J172" s="1"/>
      <c r="K172" s="1"/>
      <c r="L172" s="1"/>
      <c r="AA172" s="2">
        <f>G117*D5</f>
        <v>0</v>
      </c>
    </row>
    <row r="173" spans="1:27" ht="15.75" x14ac:dyDescent="0.25">
      <c r="A173" s="24"/>
      <c r="B173" s="20"/>
      <c r="C173" s="35"/>
      <c r="D173" s="93"/>
      <c r="E173" s="53" t="s">
        <v>82</v>
      </c>
      <c r="F173" s="93"/>
      <c r="G173" s="21"/>
      <c r="H173" s="92" t="s">
        <v>83</v>
      </c>
      <c r="I173" s="1"/>
      <c r="J173" s="1"/>
      <c r="K173" s="1"/>
      <c r="L173" s="1"/>
      <c r="AA173" s="157">
        <f>F118*E145</f>
        <v>0</v>
      </c>
    </row>
    <row r="174" spans="1:27" ht="15.75" x14ac:dyDescent="0.25">
      <c r="A174" s="24"/>
      <c r="B174" s="20"/>
      <c r="C174" s="35"/>
      <c r="D174" s="93"/>
      <c r="E174" s="43"/>
      <c r="F174" s="43"/>
      <c r="G174" s="49"/>
      <c r="H174" s="92" t="s">
        <v>84</v>
      </c>
      <c r="I174" s="1"/>
      <c r="J174" s="1"/>
      <c r="K174" s="1"/>
      <c r="L174" s="1"/>
      <c r="AA174" s="2">
        <f>G118*D5</f>
        <v>0</v>
      </c>
    </row>
    <row r="175" spans="1:27" ht="15.75" x14ac:dyDescent="0.25">
      <c r="A175" s="24"/>
      <c r="B175" s="20"/>
      <c r="C175" s="35">
        <f ca="1">AA240</f>
        <v>-2152.023607439537</v>
      </c>
      <c r="D175" s="93"/>
      <c r="E175" s="53" t="s">
        <v>85</v>
      </c>
      <c r="F175" s="43"/>
      <c r="G175" s="49"/>
      <c r="H175" s="45"/>
      <c r="I175" s="1"/>
      <c r="J175" s="1"/>
      <c r="K175" s="1"/>
      <c r="L175" s="1"/>
      <c r="AA175" s="2">
        <f ca="1">IF(K120=0,0,HLOOKUP(A2,INDIRECT(K23),2,FALSE)*INDIRECT(K120)*0.01)</f>
        <v>0</v>
      </c>
    </row>
    <row r="176" spans="1:27" ht="15.75" x14ac:dyDescent="0.25">
      <c r="A176" s="24"/>
      <c r="B176" s="49"/>
      <c r="C176" s="35">
        <f ca="1">AA241</f>
        <v>-2153.6436074395369</v>
      </c>
      <c r="D176" s="93"/>
      <c r="E176" s="53" t="s">
        <v>86</v>
      </c>
      <c r="F176" s="43"/>
      <c r="G176" s="49"/>
      <c r="H176" s="92" t="s">
        <v>87</v>
      </c>
      <c r="I176" s="1"/>
      <c r="J176" s="1"/>
      <c r="K176" s="1"/>
      <c r="L176" s="1"/>
      <c r="AA176" s="2">
        <f ca="1">H121/D5</f>
        <v>177</v>
      </c>
    </row>
    <row r="177" spans="1:27" ht="15.75" x14ac:dyDescent="0.25">
      <c r="A177" s="24"/>
      <c r="B177" s="49"/>
      <c r="C177" s="35">
        <f ca="1">AA242</f>
        <v>-2154.9336074395369</v>
      </c>
      <c r="D177" s="93"/>
      <c r="E177" s="53" t="s">
        <v>88</v>
      </c>
      <c r="F177" s="93"/>
      <c r="G177" s="21"/>
      <c r="H177" s="92" t="s">
        <v>89</v>
      </c>
      <c r="I177" s="1"/>
      <c r="J177" s="1"/>
      <c r="K177" s="1"/>
      <c r="L177" s="1"/>
      <c r="AA177" s="2">
        <f ca="1">IF(E121=0,D121*D5,IF(INDIRECT(K120)&gt;0,E121,D121*D5))</f>
        <v>1770</v>
      </c>
    </row>
    <row r="178" spans="1:27" ht="15.75" x14ac:dyDescent="0.25">
      <c r="A178" s="24"/>
      <c r="B178" s="49"/>
      <c r="C178" s="35">
        <f ca="1">AA243</f>
        <v>-2156.2236074395369</v>
      </c>
      <c r="D178" s="93"/>
      <c r="E178" s="53" t="s">
        <v>90</v>
      </c>
      <c r="F178" s="93"/>
      <c r="G178" s="82"/>
      <c r="H178" s="92" t="s">
        <v>91</v>
      </c>
      <c r="I178" s="1"/>
      <c r="J178" s="1"/>
      <c r="K178" s="1"/>
      <c r="L178" s="1"/>
      <c r="AA178" s="2">
        <f ca="1">IF(K121=0,0,HLOOKUP(A2,INDIRECT(K23),3,FALSE)*INDIRECT(K121)*0.01)</f>
        <v>0</v>
      </c>
    </row>
    <row r="179" spans="1:27" ht="15.75" x14ac:dyDescent="0.25">
      <c r="A179" s="24"/>
      <c r="B179" s="20"/>
      <c r="C179" s="35">
        <f ca="1">AA244</f>
        <v>-2157.8436074395368</v>
      </c>
      <c r="D179" s="93"/>
      <c r="E179" s="53" t="s">
        <v>92</v>
      </c>
      <c r="F179" s="93"/>
      <c r="G179" s="21"/>
      <c r="H179" s="92" t="s">
        <v>93</v>
      </c>
      <c r="I179" s="1"/>
      <c r="J179" s="1"/>
      <c r="K179" s="1"/>
      <c r="L179" s="1"/>
      <c r="AA179" s="2">
        <f ca="1">H122/D5</f>
        <v>113</v>
      </c>
    </row>
    <row r="180" spans="1:27" ht="15.75" x14ac:dyDescent="0.25">
      <c r="A180" s="24"/>
      <c r="B180" s="20"/>
      <c r="C180" s="20"/>
      <c r="D180" s="20"/>
      <c r="E180" s="20"/>
      <c r="F180" s="20"/>
      <c r="G180" s="20"/>
      <c r="H180" s="92" t="s">
        <v>94</v>
      </c>
      <c r="I180" s="1"/>
      <c r="J180" s="1"/>
      <c r="K180" s="1"/>
      <c r="L180" s="1"/>
      <c r="AA180" s="2">
        <f ca="1">IF(E122=0,D122*D5,IF(INDIRECT(K121)&gt;0,E122,D122*D5))</f>
        <v>1130</v>
      </c>
    </row>
    <row r="181" spans="1:27" ht="15.75" x14ac:dyDescent="0.25">
      <c r="A181" s="94"/>
      <c r="B181" s="95"/>
      <c r="C181" s="95"/>
      <c r="D181" s="95"/>
      <c r="E181" s="95"/>
      <c r="F181" s="95"/>
      <c r="G181" s="95"/>
      <c r="H181" s="96"/>
      <c r="I181" s="1"/>
      <c r="J181" s="1"/>
      <c r="K181" s="1"/>
      <c r="L181" s="1"/>
      <c r="AA181" s="2">
        <f ca="1">IF(K122=0,0,HLOOKUP(A2,INDIRECT(K23),4,FALSE)*INDIRECT(K122)*0.01)</f>
        <v>0</v>
      </c>
    </row>
    <row r="182" spans="1:27" ht="15.75" x14ac:dyDescent="0.25">
      <c r="A182" s="97"/>
      <c r="B182" s="98"/>
      <c r="C182" s="98"/>
      <c r="D182" s="99" t="s">
        <v>104</v>
      </c>
      <c r="E182" s="98"/>
      <c r="F182" s="98"/>
      <c r="G182" s="98"/>
      <c r="H182" s="100"/>
      <c r="I182" s="1"/>
      <c r="J182" s="1"/>
      <c r="K182" s="1"/>
      <c r="L182" s="1"/>
      <c r="AA182" s="2">
        <f ca="1">H123/D5</f>
        <v>0</v>
      </c>
    </row>
    <row r="183" spans="1:27" ht="15.75" x14ac:dyDescent="0.25">
      <c r="A183" s="101"/>
      <c r="B183" s="98"/>
      <c r="C183" s="98"/>
      <c r="D183" s="98"/>
      <c r="E183" s="98"/>
      <c r="F183" s="98"/>
      <c r="G183" s="98"/>
      <c r="H183" s="100"/>
      <c r="I183" s="1"/>
      <c r="J183" s="1"/>
      <c r="K183" s="1"/>
      <c r="L183" s="1"/>
      <c r="AA183" s="2">
        <f ca="1">IF(E123=0,D123*D5,IF(INDIRECT(K122)&gt;0,E123,D123*D5))</f>
        <v>0</v>
      </c>
    </row>
    <row r="184" spans="1:27" ht="15.75" x14ac:dyDescent="0.25">
      <c r="A184" s="102"/>
      <c r="B184" s="98"/>
      <c r="C184" s="98"/>
      <c r="D184" s="102" t="s">
        <v>105</v>
      </c>
      <c r="E184" s="103"/>
      <c r="F184" s="103"/>
      <c r="G184" s="98"/>
      <c r="H184" s="100"/>
      <c r="I184" s="1"/>
      <c r="J184" s="1"/>
      <c r="K184" s="1"/>
      <c r="L184" s="1"/>
      <c r="AA184" s="2">
        <f ca="1">IF(K123=0,0,HLOOKUP(A2,INDIRECT(K23),5,FALSE)*INDIRECT(K123)*0.01)</f>
        <v>0</v>
      </c>
    </row>
    <row r="185" spans="1:27" ht="15.75" x14ac:dyDescent="0.25">
      <c r="A185" s="104"/>
      <c r="B185" s="98"/>
      <c r="C185" s="98"/>
      <c r="D185" s="102" t="s">
        <v>118</v>
      </c>
      <c r="E185" s="103"/>
      <c r="F185" s="103"/>
      <c r="G185" s="98"/>
      <c r="H185" s="100"/>
      <c r="I185" s="1"/>
      <c r="J185" s="1"/>
      <c r="K185" s="1"/>
      <c r="L185" s="1"/>
      <c r="AA185" s="2">
        <f ca="1">H124/D5</f>
        <v>0</v>
      </c>
    </row>
    <row r="186" spans="1:27" ht="15.75" x14ac:dyDescent="0.25">
      <c r="A186" s="101"/>
      <c r="B186" s="98"/>
      <c r="C186" s="98"/>
      <c r="D186" s="105" t="s">
        <v>119</v>
      </c>
      <c r="E186" s="103"/>
      <c r="F186" s="103"/>
      <c r="G186" s="98"/>
      <c r="H186" s="100"/>
      <c r="I186" s="1"/>
      <c r="J186" s="1"/>
      <c r="K186" s="1"/>
      <c r="L186" s="1"/>
      <c r="AA186" s="2">
        <f ca="1">IF(E124=0,D124*D5,IF(INDIRECT(K123)&gt;0,E124,D124*D5))</f>
        <v>0</v>
      </c>
    </row>
    <row r="187" spans="1:27" ht="15.75" x14ac:dyDescent="0.25">
      <c r="A187" s="101"/>
      <c r="B187" s="98"/>
      <c r="C187" s="98"/>
      <c r="D187" s="106" t="s">
        <v>106</v>
      </c>
      <c r="E187" s="103"/>
      <c r="F187" s="103"/>
      <c r="G187" s="98"/>
      <c r="H187" s="100"/>
      <c r="I187" s="1"/>
      <c r="J187" s="1"/>
      <c r="K187" s="1"/>
      <c r="L187" s="1"/>
      <c r="AA187" s="2">
        <f ca="1">IF(K124=0,0,HLOOKUP(A2,INDIRECT(K23),6,FALSE)*INDIRECT(K124)*0.01)</f>
        <v>0</v>
      </c>
    </row>
    <row r="188" spans="1:27" ht="15.75" x14ac:dyDescent="0.25">
      <c r="A188" s="107"/>
      <c r="B188" s="108"/>
      <c r="C188" s="108"/>
      <c r="D188" s="130" t="s">
        <v>141</v>
      </c>
      <c r="E188" s="109"/>
      <c r="F188" s="109"/>
      <c r="G188" s="110"/>
      <c r="H188" s="111"/>
      <c r="I188" s="1"/>
      <c r="J188" s="1"/>
      <c r="K188" s="1"/>
      <c r="L188" s="1"/>
      <c r="AA188" s="2">
        <f ca="1">H125/D5</f>
        <v>0</v>
      </c>
    </row>
    <row r="189" spans="1:27" ht="15.75" x14ac:dyDescent="0.25">
      <c r="A189" s="131" t="s">
        <v>142</v>
      </c>
      <c r="B189" s="132"/>
      <c r="C189" s="132"/>
      <c r="D189" s="133"/>
      <c r="E189" s="133"/>
      <c r="F189" s="134"/>
      <c r="G189" s="134"/>
      <c r="H189" s="132"/>
      <c r="I189" s="1"/>
      <c r="J189" s="1"/>
      <c r="K189" s="1"/>
      <c r="L189" s="1"/>
      <c r="AA189" s="2">
        <f ca="1">IF(E125=0,D125*D5,IF(INDIRECT(K124)&gt;0,E125,D125*D5))</f>
        <v>0</v>
      </c>
    </row>
    <row r="190" spans="1:27" x14ac:dyDescent="0.2">
      <c r="A190" s="15"/>
      <c r="B190" s="15"/>
      <c r="C190" s="15"/>
      <c r="D190" s="15"/>
      <c r="E190" s="15"/>
      <c r="F190" s="15"/>
      <c r="G190" s="15"/>
      <c r="H190" s="15"/>
      <c r="I190" s="1"/>
      <c r="J190" s="1"/>
      <c r="K190" s="1"/>
      <c r="L190" s="1"/>
      <c r="AA190" s="2">
        <f ca="1">IF(K127=0,0,HLOOKUP(A2,INDIRECT(K23),7,FALSE)*INDIRECT(K127)*0.01)</f>
        <v>0</v>
      </c>
    </row>
    <row r="191" spans="1:27" x14ac:dyDescent="0.2">
      <c r="A191" s="15"/>
      <c r="B191" s="15"/>
      <c r="C191" s="15"/>
      <c r="D191" s="15"/>
      <c r="E191" s="15"/>
      <c r="F191" s="15"/>
      <c r="G191" s="15"/>
      <c r="H191" s="15"/>
      <c r="I191" s="1"/>
      <c r="J191" s="1"/>
      <c r="K191" s="1"/>
      <c r="L191" s="1"/>
      <c r="AA191" s="2">
        <f ca="1">H128/D5</f>
        <v>37.200000000000003</v>
      </c>
    </row>
    <row r="192" spans="1:27" x14ac:dyDescent="0.2">
      <c r="A192" s="15"/>
      <c r="B192" s="15"/>
      <c r="C192" s="15"/>
      <c r="D192" s="15"/>
      <c r="E192" s="15"/>
      <c r="F192" s="15"/>
      <c r="G192" s="15"/>
      <c r="H192" s="15"/>
      <c r="I192" s="1"/>
      <c r="J192" s="1"/>
      <c r="K192" s="1"/>
      <c r="L192" s="1"/>
      <c r="AA192" s="2">
        <f ca="1">IF(E128=0,J127,IF(INDIRECT(K127)&gt;0,E128,J127))</f>
        <v>372</v>
      </c>
    </row>
    <row r="193" spans="1:27" x14ac:dyDescent="0.2">
      <c r="A193" s="15"/>
      <c r="B193" s="15"/>
      <c r="C193" s="15"/>
      <c r="D193" s="15"/>
      <c r="E193" s="15"/>
      <c r="F193" s="15"/>
      <c r="G193" s="15"/>
      <c r="H193" s="15"/>
      <c r="I193" s="1"/>
      <c r="J193" s="1"/>
      <c r="K193" s="1"/>
      <c r="L193" s="1"/>
      <c r="AA193" s="2">
        <f ca="1">H130/D5</f>
        <v>1538.895</v>
      </c>
    </row>
    <row r="194" spans="1:27" x14ac:dyDescent="0.2">
      <c r="A194" s="15"/>
      <c r="B194" s="15"/>
      <c r="C194" s="15"/>
      <c r="D194" s="15"/>
      <c r="E194" s="15"/>
      <c r="F194" s="15"/>
      <c r="G194" s="15"/>
      <c r="H194" s="15"/>
      <c r="I194" s="1"/>
      <c r="J194" s="1"/>
      <c r="K194" s="1"/>
      <c r="L194" s="1"/>
      <c r="AA194" s="3">
        <f ca="1">SUM(H85:H128)</f>
        <v>15388.95</v>
      </c>
    </row>
    <row r="195" spans="1:27" x14ac:dyDescent="0.2">
      <c r="A195" s="15"/>
      <c r="B195" s="15"/>
      <c r="C195" s="15"/>
      <c r="D195" s="15"/>
      <c r="E195" s="15"/>
      <c r="F195" s="15"/>
      <c r="G195" s="15"/>
      <c r="H195" s="15"/>
      <c r="I195" s="1"/>
      <c r="J195" s="1"/>
      <c r="K195" s="1"/>
      <c r="L195" s="1"/>
      <c r="AA195" s="2">
        <f ca="1">ROUND(SUM(H86:H125)*C128*D128*0.0001,0)</f>
        <v>372</v>
      </c>
    </row>
    <row r="196" spans="1:27" x14ac:dyDescent="0.2">
      <c r="A196" s="15"/>
      <c r="B196" s="15"/>
      <c r="C196" s="15"/>
      <c r="D196" s="15"/>
      <c r="E196" s="15"/>
      <c r="F196" s="15"/>
      <c r="G196" s="15"/>
      <c r="H196" s="15"/>
      <c r="I196" s="1"/>
      <c r="J196" s="1"/>
      <c r="K196" s="1"/>
      <c r="L196" s="1"/>
      <c r="AA196" s="2">
        <f ca="1">IF(K133=0,0,HLOOKUP(A2,INDIRECT(K23),9,FALSE)*INDIRECT(K133)*0.01)</f>
        <v>0</v>
      </c>
    </row>
    <row r="197" spans="1:27" x14ac:dyDescent="0.2">
      <c r="A197" s="15"/>
      <c r="B197" s="15"/>
      <c r="C197" s="15"/>
      <c r="D197" s="15"/>
      <c r="E197" s="15"/>
      <c r="F197" s="15"/>
      <c r="G197" s="15"/>
      <c r="H197" s="15"/>
      <c r="I197" s="1"/>
      <c r="J197" s="1"/>
      <c r="K197" s="1"/>
      <c r="L197" s="1"/>
      <c r="AA197" s="2">
        <f ca="1">H134/D5</f>
        <v>165</v>
      </c>
    </row>
    <row r="198" spans="1:27" x14ac:dyDescent="0.2">
      <c r="A198" s="15"/>
      <c r="B198" s="15"/>
      <c r="C198" s="15"/>
      <c r="D198" s="15"/>
      <c r="E198" s="15"/>
      <c r="F198" s="15"/>
      <c r="G198" s="15"/>
      <c r="H198" s="15"/>
      <c r="I198" s="1"/>
      <c r="J198" s="1"/>
      <c r="K198" s="1"/>
      <c r="L198" s="1"/>
      <c r="AA198" s="2">
        <f ca="1">IF(E134=0,D134*D5,IF(INDIRECT(K133)&gt;0,E134,D134*D5))</f>
        <v>1650</v>
      </c>
    </row>
    <row r="199" spans="1:27" x14ac:dyDescent="0.2">
      <c r="A199" s="15"/>
      <c r="B199" s="15"/>
      <c r="C199" s="15"/>
      <c r="D199" s="15"/>
      <c r="E199" s="15"/>
      <c r="F199" s="15"/>
      <c r="G199" s="15"/>
      <c r="H199" s="15"/>
      <c r="I199" s="1"/>
      <c r="J199" s="1"/>
      <c r="K199" s="1"/>
      <c r="L199" s="1"/>
      <c r="AA199" s="2">
        <f ca="1">IF(K134=0,0,HLOOKUP(A2,INDIRECT(K23),10,FALSE)*INDIRECT(K134)*0.01)</f>
        <v>0</v>
      </c>
    </row>
    <row r="200" spans="1:27" x14ac:dyDescent="0.2">
      <c r="A200" s="15"/>
      <c r="B200" s="15"/>
      <c r="C200" s="15"/>
      <c r="D200" s="15"/>
      <c r="E200" s="15"/>
      <c r="F200" s="15"/>
      <c r="G200" s="15"/>
      <c r="H200" s="15"/>
      <c r="I200" s="1"/>
      <c r="J200" s="1"/>
      <c r="K200" s="1"/>
      <c r="L200" s="1"/>
      <c r="AA200" s="2">
        <f ca="1">H135/D5</f>
        <v>54</v>
      </c>
    </row>
    <row r="201" spans="1:27" x14ac:dyDescent="0.2">
      <c r="A201" s="15"/>
      <c r="B201" s="15"/>
      <c r="C201" s="15"/>
      <c r="D201" s="15"/>
      <c r="E201" s="15"/>
      <c r="F201" s="15"/>
      <c r="G201" s="15"/>
      <c r="H201" s="15"/>
      <c r="I201" s="1"/>
      <c r="J201" s="1"/>
      <c r="K201" s="1"/>
      <c r="L201" s="1"/>
      <c r="AA201" s="2">
        <f ca="1">IF(E135=0,D135*D5,IF(INDIRECT(K134)&gt;0,E135,D135*D5))</f>
        <v>540</v>
      </c>
    </row>
    <row r="202" spans="1:27" x14ac:dyDescent="0.2">
      <c r="A202" s="15"/>
      <c r="B202" s="15"/>
      <c r="C202" s="15"/>
      <c r="D202" s="15"/>
      <c r="E202" s="15"/>
      <c r="F202" s="15"/>
      <c r="G202" s="15"/>
      <c r="H202" s="15"/>
      <c r="I202" s="1"/>
      <c r="J202" s="1"/>
      <c r="K202" s="1"/>
      <c r="L202" s="1"/>
      <c r="AA202" s="2">
        <f ca="1">IF(K135=0,0,HLOOKUP(A2,INDIRECT(K23),11,FALSE)*INDIRECT(K135)*0.01)</f>
        <v>0</v>
      </c>
    </row>
    <row r="203" spans="1:27" x14ac:dyDescent="0.2">
      <c r="A203" s="15"/>
      <c r="B203" s="15"/>
      <c r="C203" s="15"/>
      <c r="D203" s="15"/>
      <c r="E203" s="15"/>
      <c r="F203" s="15"/>
      <c r="G203" s="15"/>
      <c r="H203" s="15"/>
      <c r="I203" s="1"/>
      <c r="J203" s="1"/>
      <c r="K203" s="1"/>
      <c r="L203" s="1"/>
      <c r="AA203" s="2">
        <f ca="1">H136/D5</f>
        <v>0</v>
      </c>
    </row>
    <row r="204" spans="1:27" x14ac:dyDescent="0.2">
      <c r="A204" s="15"/>
      <c r="B204" s="15"/>
      <c r="C204" s="15"/>
      <c r="D204" s="15"/>
      <c r="E204" s="15"/>
      <c r="F204" s="15"/>
      <c r="G204" s="15"/>
      <c r="H204" s="15"/>
      <c r="I204" s="1"/>
      <c r="J204" s="1"/>
      <c r="K204" s="1"/>
      <c r="L204" s="1"/>
      <c r="AA204" s="2">
        <f ca="1">IF(E136=0,D136*D5,IF(INDIRECT(K135)&gt;0,E136,D136*D5))</f>
        <v>0</v>
      </c>
    </row>
    <row r="205" spans="1:27" x14ac:dyDescent="0.2">
      <c r="A205" s="15"/>
      <c r="B205" s="15"/>
      <c r="C205" s="15"/>
      <c r="D205" s="15"/>
      <c r="E205" s="15"/>
      <c r="F205" s="15"/>
      <c r="G205" s="15"/>
      <c r="H205" s="15"/>
      <c r="I205" s="1"/>
      <c r="J205" s="1"/>
      <c r="K205" s="1"/>
      <c r="L205" s="1"/>
      <c r="AA205" s="2">
        <f ca="1">IF(K136=0,0,HLOOKUP(A2,INDIRECT(K23),12,FALSE)*INDIRECT(K136)*0.01)</f>
        <v>0</v>
      </c>
    </row>
    <row r="206" spans="1:27" x14ac:dyDescent="0.2">
      <c r="A206" s="15"/>
      <c r="B206" s="15"/>
      <c r="C206" s="15"/>
      <c r="D206" s="15"/>
      <c r="E206" s="15"/>
      <c r="F206" s="15"/>
      <c r="G206" s="15"/>
      <c r="H206" s="15"/>
      <c r="I206" s="1"/>
      <c r="J206" s="1"/>
      <c r="K206" s="1"/>
      <c r="L206" s="1"/>
      <c r="AA206" s="2">
        <f ca="1">H138/D5</f>
        <v>281</v>
      </c>
    </row>
    <row r="207" spans="1:27" x14ac:dyDescent="0.2">
      <c r="A207" s="15"/>
      <c r="B207" s="15"/>
      <c r="C207" s="15"/>
      <c r="D207" s="15"/>
      <c r="E207" s="15"/>
      <c r="F207" s="15"/>
      <c r="G207" s="15"/>
      <c r="H207" s="15"/>
      <c r="I207" s="1"/>
      <c r="J207" s="1"/>
      <c r="K207" s="1"/>
      <c r="L207" s="1"/>
      <c r="AA207" s="2">
        <f ca="1">IF(E138=0,D138*D5,IF(INDIRECT(K136)&gt;0,E138,D138*D5))</f>
        <v>2810</v>
      </c>
    </row>
    <row r="208" spans="1:27" x14ac:dyDescent="0.2">
      <c r="A208" s="15"/>
      <c r="B208" s="15"/>
      <c r="C208" s="15"/>
      <c r="D208" s="15"/>
      <c r="E208" s="15"/>
      <c r="F208" s="15"/>
      <c r="G208" s="15"/>
      <c r="H208" s="15"/>
      <c r="I208" s="1"/>
      <c r="J208" s="1"/>
      <c r="K208" s="1"/>
      <c r="L208" s="1"/>
      <c r="AA208" s="2">
        <f ca="1">H142/D5</f>
        <v>620.03860743953692</v>
      </c>
    </row>
    <row r="209" spans="1:27" x14ac:dyDescent="0.2">
      <c r="A209" s="15"/>
      <c r="B209" s="15"/>
      <c r="C209" s="15"/>
      <c r="D209" s="15"/>
      <c r="E209" s="15"/>
      <c r="F209" s="15"/>
      <c r="G209" s="15"/>
      <c r="H209" s="15"/>
      <c r="AA209" s="3">
        <f ca="1">SUM(H134:H140)</f>
        <v>6200.3860743953692</v>
      </c>
    </row>
    <row r="210" spans="1:27" x14ac:dyDescent="0.2">
      <c r="A210" s="15"/>
      <c r="B210" s="15"/>
      <c r="C210" s="15"/>
      <c r="D210" s="15"/>
      <c r="E210" s="15"/>
      <c r="F210" s="15"/>
      <c r="G210" s="15"/>
      <c r="H210" s="15"/>
      <c r="AA210" s="2">
        <f>E10*E11</f>
        <v>4</v>
      </c>
    </row>
    <row r="211" spans="1:27" x14ac:dyDescent="0.2">
      <c r="A211" s="15"/>
      <c r="B211" s="15"/>
      <c r="C211" s="15"/>
      <c r="D211" s="15"/>
      <c r="E211" s="15"/>
      <c r="F211" s="15"/>
      <c r="G211" s="15"/>
      <c r="H211" s="15"/>
      <c r="AA211" s="2">
        <f>E145*D5</f>
        <v>40</v>
      </c>
    </row>
    <row r="212" spans="1:27" x14ac:dyDescent="0.2">
      <c r="A212" s="15"/>
      <c r="B212" s="15"/>
      <c r="C212" s="15"/>
      <c r="D212" s="15"/>
      <c r="E212" s="15"/>
      <c r="F212" s="15"/>
      <c r="G212" s="15"/>
      <c r="H212" s="15"/>
      <c r="AA212" s="2">
        <f>IF(E109=1,D19,0)</f>
        <v>0</v>
      </c>
    </row>
    <row r="213" spans="1:27" x14ac:dyDescent="0.2">
      <c r="A213" s="15"/>
      <c r="B213" s="15"/>
      <c r="C213" s="15"/>
      <c r="D213" s="15"/>
      <c r="E213" s="15"/>
      <c r="F213" s="15"/>
      <c r="G213" s="15"/>
      <c r="H213" s="15"/>
      <c r="AA213" s="2">
        <f>E146*D5</f>
        <v>0</v>
      </c>
    </row>
    <row r="214" spans="1:27" x14ac:dyDescent="0.2">
      <c r="A214" s="15"/>
      <c r="B214" s="15"/>
      <c r="C214" s="15"/>
      <c r="D214" s="15"/>
      <c r="E214" s="15"/>
      <c r="F214" s="15"/>
      <c r="G214" s="15"/>
      <c r="H214" s="15"/>
      <c r="AA214" s="2">
        <f ca="1">F147/D5</f>
        <v>1538.895</v>
      </c>
    </row>
    <row r="215" spans="1:27" x14ac:dyDescent="0.2">
      <c r="A215" s="15"/>
      <c r="B215" s="15"/>
      <c r="C215" s="15"/>
      <c r="D215" s="15"/>
      <c r="E215" s="15"/>
      <c r="F215" s="15"/>
      <c r="G215" s="15"/>
      <c r="H215" s="15"/>
      <c r="AA215" s="3">
        <f ca="1">H130</f>
        <v>15388.95</v>
      </c>
    </row>
    <row r="216" spans="1:27" x14ac:dyDescent="0.2">
      <c r="A216" s="15"/>
      <c r="B216" s="15"/>
      <c r="C216" s="15"/>
      <c r="D216" s="15"/>
      <c r="E216" s="15"/>
      <c r="F216" s="15"/>
      <c r="G216" s="15"/>
      <c r="H216" s="15"/>
      <c r="AA216" s="2">
        <f ca="1">F149/D5</f>
        <v>-1534.895</v>
      </c>
    </row>
    <row r="217" spans="1:27" x14ac:dyDescent="0.2">
      <c r="A217" s="15"/>
      <c r="B217" s="15"/>
      <c r="C217" s="15"/>
      <c r="D217" s="15"/>
      <c r="E217" s="15"/>
      <c r="F217" s="15"/>
      <c r="G217" s="15"/>
      <c r="H217" s="15"/>
      <c r="AA217" s="3">
        <f ca="1">SUM(F145:F146)-F147</f>
        <v>-15348.95</v>
      </c>
    </row>
    <row r="218" spans="1:27" x14ac:dyDescent="0.2">
      <c r="AA218" s="2">
        <f ca="1">F150/D5</f>
        <v>620.03860743953692</v>
      </c>
    </row>
    <row r="219" spans="1:27" x14ac:dyDescent="0.2">
      <c r="AA219" s="3">
        <f ca="1">H142</f>
        <v>6200.3860743953692</v>
      </c>
    </row>
    <row r="220" spans="1:27" x14ac:dyDescent="0.2">
      <c r="AA220" s="3">
        <f ca="1">E149-E150</f>
        <v>-2154.9336074395369</v>
      </c>
    </row>
    <row r="221" spans="1:27" x14ac:dyDescent="0.2">
      <c r="AA221" s="3">
        <f ca="1">F149-F150</f>
        <v>-21549.336074395371</v>
      </c>
    </row>
    <row r="222" spans="1:27" x14ac:dyDescent="0.2">
      <c r="AA222" s="2">
        <f ca="1">E147/E10</f>
        <v>769.44749999999999</v>
      </c>
    </row>
    <row r="223" spans="1:27" x14ac:dyDescent="0.2">
      <c r="AA223" s="2">
        <f ca="1">E150/E10</f>
        <v>310.01930371976846</v>
      </c>
    </row>
    <row r="224" spans="1:27" x14ac:dyDescent="0.2">
      <c r="AA224" s="12">
        <f ca="1">G154+G155</f>
        <v>1079.4668037197684</v>
      </c>
    </row>
    <row r="225" spans="27:27" x14ac:dyDescent="0.2">
      <c r="AA225" s="3">
        <f ca="1">E152</f>
        <v>-2154.9336074395369</v>
      </c>
    </row>
    <row r="226" spans="27:27" x14ac:dyDescent="0.2">
      <c r="AA226" s="2">
        <f>IF(E109=1,0.19465*E10+0.66805*((C10-G10)/2)-0.20342*D16,(C10-G10)/2)</f>
        <v>1</v>
      </c>
    </row>
    <row r="227" spans="27:27" x14ac:dyDescent="0.2">
      <c r="AA227" s="2">
        <f>(C11-G11)/2</f>
        <v>1</v>
      </c>
    </row>
    <row r="228" spans="27:27" x14ac:dyDescent="0.2">
      <c r="AA228" s="2">
        <f>SQRT((E10*I156)^2+(E11*I155)^2+(I155*I156)^2)</f>
        <v>3</v>
      </c>
    </row>
    <row r="229" spans="27:27" x14ac:dyDescent="0.2">
      <c r="AA229" s="2">
        <f ca="1">IF(I154&gt;0,1-I162,I162)</f>
        <v>0</v>
      </c>
    </row>
    <row r="230" spans="27:27" x14ac:dyDescent="0.2">
      <c r="AA230" s="2">
        <f ca="1">ABS(I154/I157)</f>
        <v>718.31120247984563</v>
      </c>
    </row>
    <row r="231" spans="27:27" x14ac:dyDescent="0.2">
      <c r="AA231" s="2">
        <f ca="1">ABS((I154-D168)/I157)</f>
        <v>718.31120247984563</v>
      </c>
    </row>
    <row r="232" spans="27:27" x14ac:dyDescent="0.2">
      <c r="AA232" s="2">
        <f ca="1">IF(I154-D168&gt;0,1-J162,J162)</f>
        <v>0</v>
      </c>
    </row>
    <row r="233" spans="27:27" x14ac:dyDescent="0.2">
      <c r="AA233" s="2">
        <f ca="1">1/(1+(0.2316419*I159))</f>
        <v>5.9740378447099866E-3</v>
      </c>
    </row>
    <row r="234" spans="27:27" x14ac:dyDescent="0.2">
      <c r="AA234" s="2">
        <f ca="1">1/(1+(0.2316419*J159))</f>
        <v>5.9740378447099866E-3</v>
      </c>
    </row>
    <row r="235" spans="27:27" x14ac:dyDescent="0.2">
      <c r="AA235" s="2">
        <f>I157/E145</f>
        <v>0.75</v>
      </c>
    </row>
    <row r="236" spans="27:27" x14ac:dyDescent="0.2">
      <c r="AA236" s="2">
        <f ca="1">0.398942281*EXP(I159^2/-2)</f>
        <v>0</v>
      </c>
    </row>
    <row r="237" spans="27:27" x14ac:dyDescent="0.2">
      <c r="AA237" s="2">
        <f ca="1">0.398942281*EXP(J159^2/-2)</f>
        <v>0</v>
      </c>
    </row>
    <row r="238" spans="27:27" x14ac:dyDescent="0.2">
      <c r="AA238" s="2">
        <f ca="1">I161*(0.31938153*I160-0.356563782*I160^2+1.781477937*I160^3-1.821255978*I160^4+1.330274429*I160^5)</f>
        <v>0</v>
      </c>
    </row>
    <row r="239" spans="27:27" x14ac:dyDescent="0.2">
      <c r="AA239" s="2">
        <f ca="1">J161*(0.31938153*J160-0.356563782*J160^2+1.781477937*J160^3-1.821255978*J160^4+1.330274429*J160^5)</f>
        <v>0</v>
      </c>
    </row>
    <row r="240" spans="27:27" x14ac:dyDescent="0.2">
      <c r="AA240" s="2">
        <f ca="1">I154+0.97*I157</f>
        <v>-2152.023607439537</v>
      </c>
    </row>
    <row r="241" spans="27:27" x14ac:dyDescent="0.2">
      <c r="AA241" s="2">
        <f ca="1">I154+0.43*I157</f>
        <v>-2153.6436074395369</v>
      </c>
    </row>
    <row r="242" spans="27:27" x14ac:dyDescent="0.2">
      <c r="AA242" s="10">
        <f ca="1">I154</f>
        <v>-2154.9336074395369</v>
      </c>
    </row>
    <row r="243" spans="27:27" x14ac:dyDescent="0.2">
      <c r="AA243" s="2">
        <f ca="1">I154-0.43*I157</f>
        <v>-2156.2236074395369</v>
      </c>
    </row>
    <row r="244" spans="27:27" x14ac:dyDescent="0.2">
      <c r="AA244" s="2">
        <f ca="1">I154-0.97*I157</f>
        <v>-2157.8436074395368</v>
      </c>
    </row>
  </sheetData>
  <phoneticPr fontId="3" type="noConversion"/>
  <conditionalFormatting sqref="H170">
    <cfRule type="cellIs" dxfId="2" priority="1" stopIfTrue="1" operator="equal">
      <formula>$I$147</formula>
    </cfRule>
    <cfRule type="cellIs" dxfId="1" priority="2" stopIfTrue="1" operator="equal">
      <formula>$I$148</formula>
    </cfRule>
    <cfRule type="cellIs" dxfId="0" priority="3" stopIfTrue="1" operator="equal">
      <formula>$I$149</formula>
    </cfRule>
  </conditionalFormatting>
  <hyperlinks>
    <hyperlink ref="D186" r:id="rId1" xr:uid="{00000000-0004-0000-0000-000000000000}"/>
    <hyperlink ref="D188" r:id="rId2" xr:uid="{E9B98BBF-5C1B-444A-AF99-2A9FFBA8555C}"/>
  </hyperlinks>
  <pageMargins left="0.75" right="0.75" top="1" bottom="1" header="0.5" footer="0.5"/>
  <pageSetup scale="62" orientation="portrait" blackAndWhite="1" r:id="rId3"/>
  <headerFooter alignWithMargins="0">
    <oddHeader xml:space="preserve">&amp;L                                                                        </oddHeader>
    <oddFooter>&amp;CPage -&amp;P-&amp;R</oddFooter>
  </headerFooter>
  <rowBreaks count="2" manualBreakCount="2">
    <brk id="70" max="24" man="1"/>
    <brk id="138" max="24" man="1"/>
  </rowBreaks>
  <colBreaks count="1" manualBreakCount="1">
    <brk id="8" max="1048575" man="1"/>
  </col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PERENNIAL</vt:lpstr>
      <vt:lpstr>PERENNIAL!Print_Area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john.molenhuis@ontario.ca</dc:creator>
  <cp:lastModifiedBy>Molenhuis, John (OMAFRA)</cp:lastModifiedBy>
  <cp:lastPrinted>2011-05-26T19:05:53Z</cp:lastPrinted>
  <dcterms:created xsi:type="dcterms:W3CDTF">2011-05-25T18:49:26Z</dcterms:created>
  <dcterms:modified xsi:type="dcterms:W3CDTF">2020-06-12T20:12:44Z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