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ntariogov-my.sharepoint.com/personal/john_molenhuis_ontario_ca/Documents/Documents/Data/updatedbudgets/livestock/Beef/2025/"/>
    </mc:Choice>
  </mc:AlternateContent>
  <xr:revisionPtr revIDLastSave="65" documentId="8_{92957834-CA0D-4796-925E-1A42B5035EA6}" xr6:coauthVersionLast="47" xr6:coauthVersionMax="47" xr10:uidLastSave="{DF4E1826-3D61-47AF-B74D-9926C2CDF663}"/>
  <bookViews>
    <workbookView xWindow="-103" yWindow="-103" windowWidth="22149" windowHeight="11949" activeTab="1" xr2:uid="{00000000-000D-0000-FFFF-FFFF00000000}"/>
  </bookViews>
  <sheets>
    <sheet name="FeedNotes" sheetId="1" r:id="rId1"/>
    <sheet name="Backgrounder" sheetId="2" r:id="rId2"/>
  </sheets>
  <externalReferences>
    <externalReference r:id="rId3"/>
  </externalReferences>
  <definedNames>
    <definedName name="__123Graph_A" hidden="1">[1]Schedule!#REF!</definedName>
    <definedName name="__123Graph_LBL_A" hidden="1">[1]Schedule!#REF!</definedName>
    <definedName name="_1__123Graph_AP_I" hidden="1">[1]Schedule!#REF!</definedName>
    <definedName name="_2__123Graph_LBL_AP_I" hidden="1">[1]Schedule!#REF!</definedName>
    <definedName name="_3__123Graph_LBL_BP_I" hidden="1">[1]Schedule!#REF!</definedName>
    <definedName name="_Fill" hidden="1">[1]Schedule!#REF!</definedName>
    <definedName name="_Key1" hidden="1">#REF!</definedName>
    <definedName name="_Order1" hidden="1">255</definedName>
    <definedName name="_Parse_In" hidden="1">#REF!</definedName>
    <definedName name="_Parse_Out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AA3" i="2" l="1"/>
  <c r="B29" i="2" l="1"/>
  <c r="B28" i="2"/>
  <c r="E42" i="2" l="1"/>
  <c r="G42" i="2" s="1"/>
  <c r="B23" i="2"/>
  <c r="E43" i="2" s="1"/>
  <c r="E36" i="2"/>
  <c r="E35" i="2"/>
  <c r="E34" i="2"/>
  <c r="E33" i="2"/>
  <c r="E32" i="2"/>
  <c r="E31" i="2"/>
  <c r="E30" i="2"/>
  <c r="E29" i="2"/>
  <c r="E28" i="2"/>
  <c r="E27" i="2"/>
  <c r="E12" i="2"/>
  <c r="E13" i="2"/>
  <c r="E14" i="2"/>
  <c r="E6" i="2"/>
  <c r="E5" i="2"/>
  <c r="B60" i="2"/>
  <c r="H60" i="2" s="1"/>
  <c r="B59" i="2"/>
  <c r="H59" i="2" s="1"/>
  <c r="F12" i="2" l="1"/>
  <c r="E23" i="2"/>
  <c r="F42" i="2"/>
  <c r="F14" i="2"/>
  <c r="F13" i="2"/>
  <c r="E40" i="2"/>
  <c r="E41" i="2" s="1"/>
  <c r="F15" i="2"/>
  <c r="E7" i="2"/>
  <c r="AA4" i="2" s="1"/>
  <c r="B11" i="2" l="1"/>
  <c r="E11" i="2" s="1"/>
  <c r="F11" i="2" s="1"/>
  <c r="E8" i="2"/>
  <c r="E16" i="2" l="1"/>
  <c r="F8" i="2"/>
  <c r="E21" i="2" l="1"/>
  <c r="AA5" i="2"/>
  <c r="B67" i="2" s="1"/>
  <c r="F16" i="2"/>
  <c r="B61" i="2" s="1"/>
  <c r="H61" i="2" s="1"/>
  <c r="F21" i="2"/>
  <c r="E20" i="2"/>
  <c r="E17" i="2"/>
  <c r="F17" i="2" s="1"/>
  <c r="F20" i="2"/>
  <c r="B64" i="2" l="1"/>
</calcChain>
</file>

<file path=xl/sharedStrings.xml><?xml version="1.0" encoding="utf-8"?>
<sst xmlns="http://schemas.openxmlformats.org/spreadsheetml/2006/main" count="110" uniqueCount="98">
  <si>
    <t>Feedlot - Calf to Finish and Shortkeep to Finish and Backgrounder Cost of Production Calculators</t>
  </si>
  <si>
    <t xml:space="preserve">These one page programs focus on the economics of feeding cattle and features such things </t>
  </si>
  <si>
    <t xml:space="preserve">as calculating the total cost of gain, feed efficiency and net return/animal.  Interest </t>
  </si>
  <si>
    <t xml:space="preserve">cost and death loss are calculated by using the average value between purchase and selling </t>
  </si>
  <si>
    <t xml:space="preserve">price (i.e., purchase price $800/head, selling price $1,500/head - average cost $1,150).  </t>
  </si>
  <si>
    <t xml:space="preserve">It's a program that can evaluate past performance, as well as projecting ahead.  </t>
  </si>
  <si>
    <t xml:space="preserve">It allows you to look at "what if" scenarios.  Just overwrite the blue numbers on the </t>
  </si>
  <si>
    <t>sample cost of production budgets.</t>
  </si>
  <si>
    <t xml:space="preserve">  Numbers in Blue can be edited/changed for individual producers</t>
  </si>
  <si>
    <t>Calf Information</t>
  </si>
  <si>
    <t>$/Head</t>
  </si>
  <si>
    <t>$/lb</t>
  </si>
  <si>
    <t>Sale Weight (lbs)</t>
  </si>
  <si>
    <t>Sale Value</t>
  </si>
  <si>
    <t>Purchase Weight (lbs)</t>
  </si>
  <si>
    <t>Purchase Value</t>
  </si>
  <si>
    <t>Days on Feed</t>
  </si>
  <si>
    <t>Death Loss Value</t>
  </si>
  <si>
    <t>Death Loss %</t>
  </si>
  <si>
    <t>Margin</t>
  </si>
  <si>
    <t xml:space="preserve">    </t>
  </si>
  <si>
    <t>Expected Cost of Gain</t>
  </si>
  <si>
    <t>Feed ($/lb of gain)</t>
  </si>
  <si>
    <t>Feed</t>
  </si>
  <si>
    <t>Health &amp; Vet. Expenses ($/hd)</t>
  </si>
  <si>
    <t>Marketing/Trucking ($/hd)</t>
  </si>
  <si>
    <t>** Yardage ($/hd/day)</t>
  </si>
  <si>
    <t>Yardage</t>
  </si>
  <si>
    <t>Interest</t>
  </si>
  <si>
    <t>Net Return</t>
  </si>
  <si>
    <t>Expected Market Situation</t>
  </si>
  <si>
    <t>Sale Price ($/lb)</t>
  </si>
  <si>
    <t>Breakeven Sale Price</t>
  </si>
  <si>
    <t>Purchase Price ($/lb)</t>
  </si>
  <si>
    <t>Breakeven Purchase Price</t>
  </si>
  <si>
    <t>Total Gain (lbs.)</t>
  </si>
  <si>
    <t>A.D.G. (lbs./day)</t>
  </si>
  <si>
    <t>Feed Requirements</t>
  </si>
  <si>
    <t>$/tonne</t>
  </si>
  <si>
    <t>Lbs. per Head/Day</t>
  </si>
  <si>
    <t>Percent DM</t>
  </si>
  <si>
    <t>Hay</t>
  </si>
  <si>
    <t>Haylage</t>
  </si>
  <si>
    <t>Corn Silage</t>
  </si>
  <si>
    <t>Dry Corn</t>
  </si>
  <si>
    <t>H.M. Corn</t>
  </si>
  <si>
    <t>Beef Supplement</t>
  </si>
  <si>
    <t>Salt &amp; Mineral</t>
  </si>
  <si>
    <t>Corn Screenings</t>
  </si>
  <si>
    <t>Other</t>
  </si>
  <si>
    <t xml:space="preserve">PASTURE </t>
  </si>
  <si>
    <t>N/A</t>
  </si>
  <si>
    <t>Total Feed Cost</t>
  </si>
  <si>
    <t>Feed Cost per lb of Gain</t>
  </si>
  <si>
    <t xml:space="preserve">% DM intake </t>
  </si>
  <si>
    <t>Total DM fed (lbs per head/day)</t>
  </si>
  <si>
    <t>Feed Conversion (lbs - dry matter basis)</t>
  </si>
  <si>
    <t>** Yardage is hydro, telephone, taxes &amp; insurance, bedding, manure removal, housing, equip. repairs</t>
  </si>
  <si>
    <t>Risk Analysis</t>
  </si>
  <si>
    <t>Expected returns are subject to the risk of fluctuations in both revenue and expenses.</t>
  </si>
  <si>
    <t>Increases in sale prices received, decreases in replacement prices , and decreases to your cost of production will have positive impacts on your net return.</t>
  </si>
  <si>
    <t>Conversely, sale price decreases, increases in replacement prices and increases to you cost of production will have negative impacts on your net return.</t>
  </si>
  <si>
    <t>The expected values that you inputted above for the key backgrounder risk variables are displayed below on the left.</t>
  </si>
  <si>
    <t>Change the key risk variables identified for the backgrounder enterprise in the cells provided to the right to see how they will affect your net return.</t>
  </si>
  <si>
    <t>Enter negative values if you would like to decrease the value of the variable and positive values to increase the value.</t>
  </si>
  <si>
    <t>Enter zero for any variable you would like to remain at the same level as specified in the Expected section.</t>
  </si>
  <si>
    <t>Change</t>
  </si>
  <si>
    <t>Expected values (from above):</t>
  </si>
  <si>
    <t>$ / lb</t>
  </si>
  <si>
    <t>Key Backgrounder Risk Variables:</t>
  </si>
  <si>
    <t xml:space="preserve"> + / - %</t>
  </si>
  <si>
    <t>Results of the change:</t>
  </si>
  <si>
    <t>Expected Sale price</t>
  </si>
  <si>
    <t>Percent Change in Sale price</t>
  </si>
  <si>
    <t>New sale price:</t>
  </si>
  <si>
    <t xml:space="preserve">Expected Purchase Price </t>
  </si>
  <si>
    <t>Percent Change in Purchase Price</t>
  </si>
  <si>
    <t>New purchase price:</t>
  </si>
  <si>
    <t>Percent change in Cost of Gain</t>
  </si>
  <si>
    <t>New Cost of Gain:</t>
  </si>
  <si>
    <t>Net Return Per Head</t>
  </si>
  <si>
    <t>Net return per head before changes to Key Backgrounder Risk Variables</t>
  </si>
  <si>
    <t xml:space="preserve">Net Return after changes in Key Backgrounder Risk Variables </t>
  </si>
  <si>
    <t>Developed by:</t>
  </si>
  <si>
    <t>Dennis Martin, Beef Feedlot Specialist</t>
  </si>
  <si>
    <t>John Molenhuis, Business Analysis and Cost of Production Program Lead</t>
  </si>
  <si>
    <t>For more information contact:</t>
  </si>
  <si>
    <t>Agricultural Information Contact Centre</t>
  </si>
  <si>
    <t>1-877-424-1300</t>
  </si>
  <si>
    <t>DDGS</t>
  </si>
  <si>
    <t xml:space="preserve"> $$$ Ontario Backgrounder Cost of Production Calculator $$$</t>
  </si>
  <si>
    <t>ag.info.omafra@ontario.ca</t>
  </si>
  <si>
    <t>Ontario Ministry of Agriculture &amp; Food Website</t>
  </si>
  <si>
    <t>This is a cost of production budgeting tool that has 2 worksheets. There are fields that can be completed by the user. It is up to 21 columns wide and 252 rows.</t>
  </si>
  <si>
    <t>Ontario Ministry of Agriculture, Food and Rural Affairs Website</t>
  </si>
  <si>
    <t>$/day</t>
  </si>
  <si>
    <t>Revised: 2025</t>
  </si>
  <si>
    <t>Interest 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</si>
</sst>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_);_(@_)"/>
    <numFmt numFmtId="169" formatCode="_(&quot;$&quot;* #,##0_);_(&quot;$&quot;* \(#,##0\);_(&quot;$&quot;* &quot;-&quot;??_);_(@_)"/>
    <numFmt numFmtId="170" formatCode="_(&quot;$&quot;* #,##0.00_);_(&quot;$&quot;* \(#,##0.00\);_(&quot;$&quot;* &quot;-&quot;_);_(@_)"/>
    <numFmt numFmtId="171" formatCode="_(* #,##0.00_);_(* \(#,##0.00\);_(* &quot;-&quot;?_);_(@_)"/>
    <numFmt numFmtId="172" formatCode="_-&quot;$&quot;* #,##0.0000_-;\-&quot;$&quot;* #,##0.0000_-;_-&quot;$&quot;* &quot;-&quot;??_-;_-@_-"/>
  </numFmts>
  <fonts count="1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2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4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0"/>
      <name val="Courier"/>
      <family val="3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0" fontId="3" fillId="2" borderId="0" xfId="0" applyFont="1" applyFill="1" applyAlignment="1">
      <alignment horizontal="center" wrapText="1"/>
    </xf>
    <xf numFmtId="0" fontId="0" fillId="0" borderId="0" xfId="0" applyFill="1"/>
    <xf numFmtId="0" fontId="4" fillId="0" borderId="0" xfId="0" applyFont="1" applyFill="1"/>
    <xf numFmtId="0" fontId="1" fillId="0" borderId="0" xfId="3"/>
    <xf numFmtId="0" fontId="1" fillId="0" borderId="0" xfId="3" applyFont="1" applyBorder="1"/>
    <xf numFmtId="0" fontId="5" fillId="3" borderId="0" xfId="3" applyFont="1" applyFill="1"/>
    <xf numFmtId="0" fontId="6" fillId="3" borderId="0" xfId="3" applyFont="1" applyFill="1"/>
    <xf numFmtId="0" fontId="7" fillId="3" borderId="0" xfId="3" applyFont="1" applyFill="1"/>
    <xf numFmtId="0" fontId="1" fillId="0" borderId="0" xfId="3" applyBorder="1"/>
    <xf numFmtId="0" fontId="8" fillId="3" borderId="1" xfId="3" applyFont="1" applyFill="1" applyBorder="1"/>
    <xf numFmtId="165" fontId="9" fillId="3" borderId="1" xfId="3" applyNumberFormat="1" applyFont="1" applyFill="1" applyBorder="1" applyProtection="1">
      <protection locked="0"/>
    </xf>
    <xf numFmtId="0" fontId="7" fillId="3" borderId="1" xfId="3" applyFont="1" applyFill="1" applyBorder="1"/>
    <xf numFmtId="0" fontId="6" fillId="3" borderId="2" xfId="3" applyFont="1" applyFill="1" applyBorder="1" applyProtection="1"/>
    <xf numFmtId="0" fontId="6" fillId="3" borderId="3" xfId="3" applyFont="1" applyFill="1" applyBorder="1" applyProtection="1"/>
    <xf numFmtId="0" fontId="6" fillId="3" borderId="4" xfId="3" applyFont="1" applyFill="1" applyBorder="1" applyProtection="1"/>
    <xf numFmtId="167" fontId="9" fillId="3" borderId="1" xfId="3" applyNumberFormat="1" applyFont="1" applyFill="1" applyBorder="1" applyProtection="1">
      <protection locked="0"/>
    </xf>
    <xf numFmtId="0" fontId="8" fillId="3" borderId="0" xfId="3" applyFont="1" applyFill="1" applyBorder="1"/>
    <xf numFmtId="167" fontId="9" fillId="3" borderId="0" xfId="3" applyNumberFormat="1" applyFont="1" applyFill="1" applyBorder="1"/>
    <xf numFmtId="0" fontId="7" fillId="3" borderId="0" xfId="3" applyFont="1" applyFill="1" applyBorder="1"/>
    <xf numFmtId="164" fontId="5" fillId="3" borderId="0" xfId="3" applyNumberFormat="1" applyFont="1" applyFill="1" applyBorder="1"/>
    <xf numFmtId="166" fontId="5" fillId="3" borderId="0" xfId="3" applyNumberFormat="1" applyFont="1" applyFill="1" applyBorder="1"/>
    <xf numFmtId="0" fontId="10" fillId="3" borderId="0" xfId="3" applyFont="1" applyFill="1"/>
    <xf numFmtId="164" fontId="9" fillId="3" borderId="1" xfId="1" applyNumberFormat="1" applyFont="1" applyFill="1" applyBorder="1" applyProtection="1">
      <protection locked="0"/>
    </xf>
    <xf numFmtId="166" fontId="9" fillId="3" borderId="1" xfId="1" applyFont="1" applyFill="1" applyBorder="1" applyProtection="1">
      <protection locked="0"/>
    </xf>
    <xf numFmtId="0" fontId="9" fillId="3" borderId="1" xfId="3" applyFont="1" applyFill="1" applyBorder="1" applyProtection="1">
      <protection locked="0"/>
    </xf>
    <xf numFmtId="0" fontId="9" fillId="3" borderId="0" xfId="3" applyFont="1" applyFill="1" applyBorder="1"/>
    <xf numFmtId="37" fontId="11" fillId="3" borderId="5" xfId="1" applyNumberFormat="1" applyFont="1" applyFill="1" applyBorder="1" applyProtection="1">
      <protection locked="0" hidden="1"/>
    </xf>
    <xf numFmtId="0" fontId="6" fillId="3" borderId="0" xfId="3" applyFont="1" applyFill="1" applyProtection="1"/>
    <xf numFmtId="0" fontId="7" fillId="3" borderId="0" xfId="2" applyFont="1" applyFill="1" applyAlignment="1">
      <alignment horizontal="center"/>
    </xf>
    <xf numFmtId="0" fontId="7" fillId="3" borderId="0" xfId="2" applyFont="1" applyFill="1" applyAlignment="1">
      <alignment horizontal="left"/>
    </xf>
    <xf numFmtId="0" fontId="7" fillId="3" borderId="1" xfId="2" applyFont="1" applyFill="1" applyBorder="1" applyAlignment="1">
      <alignment horizontal="center"/>
    </xf>
    <xf numFmtId="164" fontId="5" fillId="3" borderId="1" xfId="3" applyNumberFormat="1" applyFont="1" applyFill="1" applyBorder="1"/>
    <xf numFmtId="0" fontId="7" fillId="3" borderId="1" xfId="2" applyFont="1" applyFill="1" applyBorder="1"/>
    <xf numFmtId="0" fontId="5" fillId="3" borderId="1" xfId="2" applyFont="1" applyFill="1" applyBorder="1"/>
    <xf numFmtId="0" fontId="5" fillId="3" borderId="6" xfId="2" applyFont="1" applyFill="1" applyBorder="1"/>
    <xf numFmtId="0" fontId="5" fillId="3" borderId="7" xfId="2" applyFont="1" applyFill="1" applyBorder="1"/>
    <xf numFmtId="0" fontId="7" fillId="3" borderId="0" xfId="3" applyFont="1" applyFill="1" applyAlignment="1">
      <alignment horizontal="center"/>
    </xf>
    <xf numFmtId="166" fontId="7" fillId="0" borderId="1" xfId="3" applyNumberFormat="1" applyFont="1" applyBorder="1" applyProtection="1"/>
    <xf numFmtId="9" fontId="9" fillId="3" borderId="9" xfId="3" applyNumberFormat="1" applyFont="1" applyFill="1" applyBorder="1" applyAlignment="1" applyProtection="1">
      <alignment horizontal="center"/>
      <protection locked="0"/>
    </xf>
    <xf numFmtId="164" fontId="7" fillId="3" borderId="10" xfId="3" applyNumberFormat="1" applyFont="1" applyFill="1" applyBorder="1" applyAlignment="1" applyProtection="1">
      <alignment horizontal="center"/>
    </xf>
    <xf numFmtId="164" fontId="7" fillId="3" borderId="0" xfId="3" applyNumberFormat="1" applyFont="1" applyFill="1" applyBorder="1" applyAlignment="1">
      <alignment horizontal="center"/>
    </xf>
    <xf numFmtId="164" fontId="7" fillId="3" borderId="11" xfId="3" applyNumberFormat="1" applyFont="1" applyFill="1" applyBorder="1" applyAlignment="1" applyProtection="1">
      <alignment horizontal="center"/>
    </xf>
    <xf numFmtId="0" fontId="6" fillId="3" borderId="0" xfId="3" applyFont="1" applyFill="1" applyAlignment="1">
      <alignment horizontal="right"/>
    </xf>
    <xf numFmtId="0" fontId="7" fillId="2" borderId="0" xfId="3" applyFont="1" applyFill="1" applyAlignment="1"/>
    <xf numFmtId="0" fontId="6" fillId="2" borderId="0" xfId="3" applyFont="1" applyFill="1"/>
    <xf numFmtId="0" fontId="6" fillId="6" borderId="0" xfId="3" applyFont="1" applyFill="1"/>
    <xf numFmtId="169" fontId="9" fillId="3" borderId="0" xfId="2" applyNumberFormat="1" applyFont="1" applyFill="1" applyBorder="1"/>
    <xf numFmtId="0" fontId="6" fillId="5" borderId="0" xfId="3" applyFont="1" applyFill="1"/>
    <xf numFmtId="0" fontId="7" fillId="3" borderId="0" xfId="2" applyFont="1" applyFill="1" applyAlignment="1">
      <alignment horizontal="centerContinuous"/>
    </xf>
    <xf numFmtId="169" fontId="9" fillId="3" borderId="1" xfId="2" applyNumberFormat="1" applyFont="1" applyFill="1" applyBorder="1" applyProtection="1">
      <protection locked="0"/>
    </xf>
    <xf numFmtId="0" fontId="6" fillId="3" borderId="0" xfId="3" applyFont="1" applyFill="1" applyProtection="1">
      <protection locked="0"/>
    </xf>
    <xf numFmtId="168" fontId="9" fillId="3" borderId="1" xfId="2" applyNumberFormat="1" applyFont="1" applyFill="1" applyBorder="1" applyProtection="1">
      <protection locked="0"/>
    </xf>
    <xf numFmtId="9" fontId="9" fillId="3" borderId="1" xfId="2" applyNumberFormat="1" applyFont="1" applyFill="1" applyBorder="1" applyProtection="1">
      <protection locked="0"/>
    </xf>
    <xf numFmtId="43" fontId="6" fillId="3" borderId="0" xfId="3" applyNumberFormat="1" applyFont="1" applyFill="1"/>
    <xf numFmtId="171" fontId="9" fillId="3" borderId="1" xfId="2" applyNumberFormat="1" applyFont="1" applyFill="1" applyBorder="1" applyProtection="1">
      <protection locked="0"/>
    </xf>
    <xf numFmtId="3" fontId="9" fillId="3" borderId="1" xfId="2" applyNumberFormat="1" applyFont="1" applyFill="1" applyBorder="1" applyProtection="1">
      <protection locked="0"/>
    </xf>
    <xf numFmtId="0" fontId="6" fillId="3" borderId="0" xfId="2" applyFont="1" applyFill="1"/>
    <xf numFmtId="0" fontId="7" fillId="3" borderId="0" xfId="3" applyFont="1" applyFill="1" applyProtection="1"/>
    <xf numFmtId="0" fontId="6" fillId="5" borderId="7" xfId="0" applyFont="1" applyFill="1" applyBorder="1" applyAlignment="1" applyProtection="1">
      <alignment vertical="top" wrapText="1"/>
    </xf>
    <xf numFmtId="0" fontId="6" fillId="3" borderId="15" xfId="3" applyFont="1" applyFill="1" applyBorder="1"/>
    <xf numFmtId="0" fontId="6" fillId="5" borderId="15" xfId="3" applyFont="1" applyFill="1" applyBorder="1"/>
    <xf numFmtId="0" fontId="6" fillId="5" borderId="7" xfId="3" applyFont="1" applyFill="1" applyBorder="1"/>
    <xf numFmtId="0" fontId="6" fillId="5" borderId="0" xfId="0" applyFont="1" applyFill="1" applyBorder="1" applyAlignment="1" applyProtection="1">
      <alignment vertical="top" wrapText="1"/>
    </xf>
    <xf numFmtId="0" fontId="6" fillId="3" borderId="0" xfId="0" applyFont="1" applyFill="1" applyBorder="1" applyAlignment="1"/>
    <xf numFmtId="0" fontId="7" fillId="4" borderId="0" xfId="3" applyFont="1" applyFill="1"/>
    <xf numFmtId="0" fontId="6" fillId="4" borderId="0" xfId="3" applyFont="1" applyFill="1"/>
    <xf numFmtId="0" fontId="6" fillId="4" borderId="0" xfId="3" applyFont="1" applyFill="1" applyBorder="1"/>
    <xf numFmtId="0" fontId="6" fillId="3" borderId="0" xfId="3" applyFont="1" applyFill="1" applyBorder="1"/>
    <xf numFmtId="0" fontId="7" fillId="3" borderId="0" xfId="3" applyFont="1" applyFill="1" applyAlignment="1">
      <alignment horizontal="left" indent="1"/>
    </xf>
    <xf numFmtId="0" fontId="7" fillId="3" borderId="0" xfId="3" applyFont="1" applyFill="1" applyAlignment="1">
      <alignment horizontal="right"/>
    </xf>
    <xf numFmtId="0" fontId="7" fillId="3" borderId="0" xfId="3" applyFont="1" applyFill="1" applyAlignment="1">
      <alignment horizontal="center" wrapText="1"/>
    </xf>
    <xf numFmtId="0" fontId="6" fillId="3" borderId="12" xfId="3" applyFont="1" applyFill="1" applyBorder="1"/>
    <xf numFmtId="0" fontId="6" fillId="3" borderId="13" xfId="3" applyFont="1" applyFill="1" applyBorder="1"/>
    <xf numFmtId="0" fontId="6" fillId="3" borderId="0" xfId="3" applyFont="1" applyFill="1" applyBorder="1" applyAlignment="1">
      <alignment horizontal="left"/>
    </xf>
    <xf numFmtId="0" fontId="6" fillId="3" borderId="0" xfId="3" applyFont="1" applyFill="1" applyAlignment="1">
      <alignment horizontal="center"/>
    </xf>
    <xf numFmtId="0" fontId="6" fillId="3" borderId="11" xfId="3" applyFont="1" applyFill="1" applyBorder="1"/>
    <xf numFmtId="0" fontId="6" fillId="3" borderId="14" xfId="3" applyFont="1" applyFill="1" applyBorder="1"/>
    <xf numFmtId="0" fontId="6" fillId="5" borderId="5" xfId="3" applyFont="1" applyFill="1" applyBorder="1"/>
    <xf numFmtId="0" fontId="6" fillId="3" borderId="8" xfId="3" applyFont="1" applyFill="1" applyBorder="1" applyAlignment="1">
      <alignment horizontal="centerContinuous"/>
    </xf>
    <xf numFmtId="0" fontId="6" fillId="3" borderId="0" xfId="3" quotePrefix="1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13" fillId="3" borderId="0" xfId="4" applyFont="1" applyFill="1" applyBorder="1" applyAlignment="1">
      <alignment horizontal="centerContinuous"/>
    </xf>
    <xf numFmtId="0" fontId="13" fillId="3" borderId="5" xfId="4" applyFont="1" applyFill="1" applyBorder="1" applyAlignment="1">
      <alignment horizontal="centerContinuous"/>
    </xf>
    <xf numFmtId="0" fontId="6" fillId="3" borderId="5" xfId="3" applyFont="1" applyFill="1" applyBorder="1" applyAlignment="1">
      <alignment horizontal="centerContinuous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10" xfId="3" applyFont="1" applyFill="1" applyBorder="1" applyAlignment="1">
      <alignment horizontal="left"/>
    </xf>
    <xf numFmtId="0" fontId="6" fillId="3" borderId="16" xfId="3" applyFont="1" applyFill="1" applyBorder="1"/>
    <xf numFmtId="0" fontId="6" fillId="3" borderId="17" xfId="3" applyFont="1" applyFill="1" applyBorder="1"/>
    <xf numFmtId="0" fontId="6" fillId="3" borderId="18" xfId="3" applyFont="1" applyFill="1" applyBorder="1"/>
    <xf numFmtId="0" fontId="3" fillId="2" borderId="0" xfId="3" applyFont="1" applyFill="1" applyAlignment="1"/>
    <xf numFmtId="0" fontId="7" fillId="0" borderId="0" xfId="5" applyFont="1"/>
    <xf numFmtId="172" fontId="6" fillId="3" borderId="0" xfId="3" applyNumberFormat="1" applyFont="1" applyFill="1"/>
    <xf numFmtId="166" fontId="6" fillId="3" borderId="0" xfId="3" applyNumberFormat="1" applyFont="1" applyFill="1" applyProtection="1"/>
    <xf numFmtId="170" fontId="6" fillId="5" borderId="0" xfId="3" applyNumberFormat="1" applyFont="1" applyFill="1"/>
    <xf numFmtId="172" fontId="6" fillId="5" borderId="0" xfId="3" applyNumberFormat="1" applyFont="1" applyFill="1"/>
    <xf numFmtId="43" fontId="6" fillId="5" borderId="0" xfId="3" applyNumberFormat="1" applyFont="1" applyFill="1"/>
    <xf numFmtId="166" fontId="9" fillId="3" borderId="1" xfId="2" applyNumberFormat="1" applyFont="1" applyFill="1" applyBorder="1" applyProtection="1">
      <protection locked="0"/>
    </xf>
    <xf numFmtId="0" fontId="15" fillId="3" borderId="0" xfId="3" applyFont="1" applyFill="1"/>
    <xf numFmtId="164" fontId="15" fillId="3" borderId="1" xfId="3" applyNumberFormat="1" applyFont="1" applyFill="1" applyBorder="1" applyProtection="1"/>
    <xf numFmtId="166" fontId="15" fillId="3" borderId="1" xfId="3" applyNumberFormat="1" applyFont="1" applyFill="1" applyBorder="1" applyProtection="1"/>
    <xf numFmtId="166" fontId="15" fillId="3" borderId="1" xfId="1" applyFont="1" applyFill="1" applyBorder="1" applyProtection="1"/>
    <xf numFmtId="164" fontId="15" fillId="3" borderId="1" xfId="1" applyNumberFormat="1" applyFont="1" applyFill="1" applyBorder="1" applyProtection="1"/>
    <xf numFmtId="0" fontId="15" fillId="3" borderId="1" xfId="3" applyFont="1" applyFill="1" applyBorder="1" applyProtection="1"/>
    <xf numFmtId="167" fontId="15" fillId="3" borderId="1" xfId="3" applyNumberFormat="1" applyFont="1" applyFill="1" applyBorder="1" applyProtection="1"/>
    <xf numFmtId="170" fontId="15" fillId="3" borderId="1" xfId="3" applyNumberFormat="1" applyFont="1" applyFill="1" applyBorder="1" applyProtection="1"/>
    <xf numFmtId="39" fontId="15" fillId="3" borderId="1" xfId="1" applyNumberFormat="1" applyFont="1" applyFill="1" applyBorder="1" applyAlignment="1" applyProtection="1">
      <alignment horizontal="right"/>
    </xf>
    <xf numFmtId="10" fontId="15" fillId="3" borderId="6" xfId="3" applyNumberFormat="1" applyFont="1" applyFill="1" applyBorder="1" applyAlignment="1" applyProtection="1">
      <alignment horizontal="center"/>
    </xf>
    <xf numFmtId="0" fontId="15" fillId="5" borderId="6" xfId="3" applyNumberFormat="1" applyFont="1" applyFill="1" applyBorder="1" applyAlignment="1" applyProtection="1">
      <alignment vertical="top"/>
    </xf>
  </cellXfs>
  <cellStyles count="6">
    <cellStyle name="Currency_BeefProd1" xfId="1" xr:uid="{00000000-0005-0000-0000-000000000000}"/>
    <cellStyle name="Hyperlink" xfId="4" builtinId="8"/>
    <cellStyle name="Normal" xfId="0" builtinId="0"/>
    <cellStyle name="Normal_calffeed" xfId="2" xr:uid="{00000000-0005-0000-0000-000003000000}"/>
    <cellStyle name="Normal_Calfpro" xfId="3" xr:uid="{00000000-0005-0000-0000-000004000000}"/>
    <cellStyle name="Normal_Raspc2" xfId="5" xr:uid="{00000000-0005-0000-0000-000005000000}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1780186</xdr:colOff>
      <xdr:row>0</xdr:row>
      <xdr:rowOff>414564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2CCEE2-F8B2-4F8E-98C4-32B48B02F2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80186" cy="414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61</xdr:row>
      <xdr:rowOff>0</xdr:rowOff>
    </xdr:from>
    <xdr:to>
      <xdr:col>7</xdr:col>
      <xdr:colOff>409575</xdr:colOff>
      <xdr:row>66</xdr:row>
      <xdr:rowOff>152400</xdr:rowOff>
    </xdr:to>
    <xdr:cxnSp macro="">
      <xdr:nvCxnSpPr>
        <xdr:cNvPr id="1025" name="AutoShape 1" descr="Image of an arrow from the new cost of gain result of change, pointing to the net return after changes in key backgrounder risk variables. " title="Arrow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CxnSpPr>
          <a:cxnSpLocks noChangeShapeType="1"/>
        </xdr:cNvCxnSpPr>
      </xdr:nvCxnSpPr>
      <xdr:spPr bwMode="auto">
        <a:xfrm rot="5400000">
          <a:off x="6881813" y="12501562"/>
          <a:ext cx="1390650" cy="1152525"/>
        </a:xfrm>
        <a:prstGeom prst="bentConnector3">
          <a:avLst>
            <a:gd name="adj1" fmla="val 9928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mafra.gov.on.ca/Data/updatedbudgets/livestock/Beef/2004/LoanCalc2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"/>
      <sheetName val="Dialog1"/>
      <sheetName val="Balance"/>
      <sheetName val="P+I"/>
      <sheetName val="Compare"/>
      <sheetName val="Prepay"/>
      <sheetName val="Refinance"/>
      <sheetName val="InterestRate"/>
      <sheetName val="Time"/>
      <sheetName val="Max"/>
      <sheetName val="Tips"/>
      <sheetName val="Module1"/>
      <sheetName val="Module3"/>
      <sheetName val="Module4"/>
      <sheetName val="SetToolbars"/>
      <sheetName val="Module5"/>
    </sheetNames>
    <sheetDataSet>
      <sheetData sheetId="0">
        <row r="2">
          <cell r="R2">
            <v>7</v>
          </cell>
        </row>
      </sheetData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ntario.ca/agbusiness/" TargetMode="External"/><Relationship Id="rId1" Type="http://schemas.openxmlformats.org/officeDocument/2006/relationships/hyperlink" Target="mailto:ag.info.omafra@ontario.c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g.info.omafra@ontario.ca" TargetMode="External"/><Relationship Id="rId1" Type="http://schemas.openxmlformats.org/officeDocument/2006/relationships/hyperlink" Target="http://www.omaf.gov.on.ca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30"/>
  <sheetViews>
    <sheetView showGridLines="0" zoomScaleNormal="100" zoomScaleSheetLayoutView="100" workbookViewId="0">
      <selection activeCell="E4" sqref="E4"/>
    </sheetView>
  </sheetViews>
  <sheetFormatPr defaultRowHeight="12.45" x14ac:dyDescent="0.3"/>
  <cols>
    <col min="1" max="1" width="98.3046875" customWidth="1"/>
  </cols>
  <sheetData>
    <row r="1" spans="1:1" ht="33" customHeight="1" x14ac:dyDescent="0.3"/>
    <row r="2" spans="1:1" ht="55.5" customHeight="1" x14ac:dyDescent="0.6">
      <c r="A2" s="1" t="s">
        <v>0</v>
      </c>
    </row>
    <row r="3" spans="1:1" ht="15" x14ac:dyDescent="0.35">
      <c r="A3" s="85"/>
    </row>
    <row r="4" spans="1:1" ht="15" x14ac:dyDescent="0.35">
      <c r="A4" s="86" t="s">
        <v>1</v>
      </c>
    </row>
    <row r="5" spans="1:1" ht="15" x14ac:dyDescent="0.35">
      <c r="A5" s="86" t="s">
        <v>2</v>
      </c>
    </row>
    <row r="6" spans="1:1" ht="15" x14ac:dyDescent="0.35">
      <c r="A6" s="86" t="s">
        <v>3</v>
      </c>
    </row>
    <row r="7" spans="1:1" ht="15" x14ac:dyDescent="0.35">
      <c r="A7" s="86" t="s">
        <v>4</v>
      </c>
    </row>
    <row r="8" spans="1:1" ht="15" x14ac:dyDescent="0.35">
      <c r="A8" s="86" t="s">
        <v>5</v>
      </c>
    </row>
    <row r="9" spans="1:1" ht="15" x14ac:dyDescent="0.35">
      <c r="A9" s="86" t="s">
        <v>6</v>
      </c>
    </row>
    <row r="10" spans="1:1" ht="15" x14ac:dyDescent="0.35">
      <c r="A10" s="86" t="s">
        <v>7</v>
      </c>
    </row>
    <row r="11" spans="1:1" ht="15" x14ac:dyDescent="0.35">
      <c r="A11" s="86"/>
    </row>
    <row r="12" spans="1:1" ht="15.45" x14ac:dyDescent="0.4">
      <c r="A12" s="8" t="s">
        <v>83</v>
      </c>
    </row>
    <row r="13" spans="1:1" ht="15" x14ac:dyDescent="0.35">
      <c r="A13" s="7" t="s">
        <v>84</v>
      </c>
    </row>
    <row r="14" spans="1:1" ht="15" x14ac:dyDescent="0.35">
      <c r="A14" s="7" t="s">
        <v>85</v>
      </c>
    </row>
    <row r="15" spans="1:1" ht="15" x14ac:dyDescent="0.35">
      <c r="A15" s="7"/>
    </row>
    <row r="16" spans="1:1" ht="15" x14ac:dyDescent="0.35">
      <c r="A16" s="7" t="s">
        <v>86</v>
      </c>
    </row>
    <row r="17" spans="1:1" ht="15" x14ac:dyDescent="0.35">
      <c r="A17" s="79" t="s">
        <v>87</v>
      </c>
    </row>
    <row r="18" spans="1:1" ht="15" x14ac:dyDescent="0.35">
      <c r="A18" s="80" t="s">
        <v>88</v>
      </c>
    </row>
    <row r="19" spans="1:1" ht="15" x14ac:dyDescent="0.35">
      <c r="A19" s="82" t="s">
        <v>91</v>
      </c>
    </row>
    <row r="20" spans="1:1" ht="15" x14ac:dyDescent="0.35">
      <c r="A20" s="83" t="s">
        <v>94</v>
      </c>
    </row>
    <row r="21" spans="1:1" x14ac:dyDescent="0.3">
      <c r="A21" s="2"/>
    </row>
    <row r="22" spans="1:1" x14ac:dyDescent="0.3">
      <c r="A22" s="2"/>
    </row>
    <row r="23" spans="1:1" x14ac:dyDescent="0.3">
      <c r="A23" s="2"/>
    </row>
    <row r="24" spans="1:1" x14ac:dyDescent="0.3">
      <c r="A24" s="2"/>
    </row>
    <row r="25" spans="1:1" x14ac:dyDescent="0.3">
      <c r="A25" s="2"/>
    </row>
    <row r="26" spans="1:1" x14ac:dyDescent="0.3">
      <c r="A26" s="2"/>
    </row>
    <row r="27" spans="1:1" x14ac:dyDescent="0.3">
      <c r="A27" s="3"/>
    </row>
    <row r="28" spans="1:1" x14ac:dyDescent="0.3">
      <c r="A28" s="2"/>
    </row>
    <row r="29" spans="1:1" x14ac:dyDescent="0.3">
      <c r="A29" s="2"/>
    </row>
    <row r="30" spans="1:1" x14ac:dyDescent="0.3">
      <c r="A30" s="2"/>
    </row>
  </sheetData>
  <phoneticPr fontId="0" type="noConversion"/>
  <hyperlinks>
    <hyperlink ref="A19" r:id="rId1" xr:uid="{00000000-0004-0000-0000-000000000000}"/>
    <hyperlink ref="A20" r:id="rId2" xr:uid="{00000000-0004-0000-0000-000001000000}"/>
  </hyperlinks>
  <pageMargins left="0.75" right="0.75" top="1" bottom="1" header="0.5" footer="0.5"/>
  <pageSetup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AA77"/>
  <sheetViews>
    <sheetView showGridLines="0" tabSelected="1" zoomScaleNormal="100" zoomScaleSheetLayoutView="100" workbookViewId="0">
      <selection activeCell="E16" sqref="E16"/>
    </sheetView>
  </sheetViews>
  <sheetFormatPr defaultColWidth="10.3046875" defaultRowHeight="12.45" x14ac:dyDescent="0.3"/>
  <cols>
    <col min="1" max="1" width="33.3046875" style="4" customWidth="1"/>
    <col min="2" max="2" width="10.3828125" style="4" customWidth="1"/>
    <col min="3" max="3" width="1.53515625" style="4" customWidth="1"/>
    <col min="4" max="4" width="38.84375" style="4" customWidth="1"/>
    <col min="5" max="5" width="13.15234375" style="4" customWidth="1"/>
    <col min="6" max="6" width="17" style="4" customWidth="1"/>
    <col min="7" max="7" width="14.84375" style="4" customWidth="1"/>
    <col min="8" max="8" width="12.69140625" style="4" customWidth="1"/>
    <col min="9" max="9" width="4.3046875" style="4" customWidth="1"/>
    <col min="10" max="10" width="10.3046875" style="4"/>
    <col min="11" max="11" width="19.15234375" style="4" customWidth="1"/>
    <col min="12" max="27" width="0" style="4" hidden="1" customWidth="1"/>
    <col min="28" max="16384" width="10.3046875" style="4"/>
  </cols>
  <sheetData>
    <row r="1" spans="1:27" ht="15.45" x14ac:dyDescent="0.4">
      <c r="A1" s="92" t="s">
        <v>93</v>
      </c>
    </row>
    <row r="2" spans="1:27" ht="25.3" x14ac:dyDescent="0.6">
      <c r="A2" s="91" t="s">
        <v>90</v>
      </c>
      <c r="B2" s="44"/>
      <c r="C2" s="44"/>
      <c r="D2" s="44"/>
      <c r="E2" s="44"/>
      <c r="F2" s="44"/>
      <c r="G2" s="44"/>
      <c r="H2" s="45"/>
      <c r="I2" s="45"/>
      <c r="J2" s="46"/>
      <c r="K2" s="46"/>
    </row>
    <row r="3" spans="1:27" ht="15.45" x14ac:dyDescent="0.4">
      <c r="A3" s="47" t="s">
        <v>8</v>
      </c>
      <c r="B3" s="7"/>
      <c r="C3" s="7"/>
      <c r="D3" s="7"/>
      <c r="E3" s="7"/>
      <c r="F3" s="7"/>
      <c r="G3" s="99" t="s">
        <v>96</v>
      </c>
      <c r="H3" s="7"/>
      <c r="I3" s="7"/>
      <c r="J3" s="48"/>
      <c r="K3" s="48"/>
      <c r="AA3" s="5">
        <f>IF(E59=0,B20*B5,IF(E59&gt;0,B20*B5*(1+E59),B20*B5*(1-(ABS(E59)))))</f>
        <v>2983.5</v>
      </c>
    </row>
    <row r="4" spans="1:27" ht="15.45" x14ac:dyDescent="0.4">
      <c r="A4" s="99" t="s">
        <v>9</v>
      </c>
      <c r="B4" s="7"/>
      <c r="C4" s="7"/>
      <c r="D4" s="7"/>
      <c r="E4" s="8" t="s">
        <v>10</v>
      </c>
      <c r="F4" s="8" t="s">
        <v>11</v>
      </c>
      <c r="G4" s="7"/>
      <c r="H4" s="7"/>
      <c r="I4" s="7"/>
      <c r="J4" s="48"/>
      <c r="K4" s="48"/>
      <c r="AA4" s="9">
        <f>IF(E60=0,B21*B6+E7,IF(E60&gt;0,B21*B6*(1+E60)+E7,E7+B21*B6*(1-(ABS(E60)))))</f>
        <v>2476.6462499999998</v>
      </c>
    </row>
    <row r="5" spans="1:27" ht="15.45" x14ac:dyDescent="0.4">
      <c r="A5" s="10" t="s">
        <v>12</v>
      </c>
      <c r="B5" s="11">
        <v>850</v>
      </c>
      <c r="C5" s="7"/>
      <c r="D5" s="12" t="s">
        <v>13</v>
      </c>
      <c r="E5" s="100">
        <f>B5*B20</f>
        <v>2983.5</v>
      </c>
      <c r="F5" s="13"/>
      <c r="G5" s="7"/>
      <c r="H5" s="7"/>
      <c r="I5" s="7"/>
      <c r="J5" s="48"/>
      <c r="K5" s="48"/>
      <c r="AA5" s="9">
        <f>IF(E61=0,E16,IF(E61&gt;0,E16*(1+E61),E16*(1-(ABS(E61)))))</f>
        <v>544.13559344267389</v>
      </c>
    </row>
    <row r="6" spans="1:27" ht="15.45" x14ac:dyDescent="0.4">
      <c r="A6" s="10" t="s">
        <v>14</v>
      </c>
      <c r="B6" s="11">
        <v>560</v>
      </c>
      <c r="C6" s="7"/>
      <c r="D6" s="12" t="s">
        <v>15</v>
      </c>
      <c r="E6" s="100">
        <f>B6*B21</f>
        <v>2436</v>
      </c>
      <c r="F6" s="14"/>
      <c r="G6" s="7"/>
      <c r="H6" s="7"/>
      <c r="I6" s="7"/>
      <c r="J6" s="48"/>
      <c r="K6" s="48"/>
    </row>
    <row r="7" spans="1:27" ht="15.45" x14ac:dyDescent="0.4">
      <c r="A7" s="10" t="s">
        <v>16</v>
      </c>
      <c r="B7" s="11">
        <v>148</v>
      </c>
      <c r="C7" s="7"/>
      <c r="D7" s="12" t="s">
        <v>17</v>
      </c>
      <c r="E7" s="100">
        <f>(+E5+E6)/2*B8*0.01</f>
        <v>40.646250000000002</v>
      </c>
      <c r="F7" s="15"/>
      <c r="G7" s="7"/>
      <c r="H7" s="7"/>
      <c r="I7" s="7"/>
      <c r="J7" s="48"/>
      <c r="K7" s="48"/>
    </row>
    <row r="8" spans="1:27" ht="15.45" x14ac:dyDescent="0.4">
      <c r="A8" s="10" t="s">
        <v>18</v>
      </c>
      <c r="B8" s="16">
        <v>1.5</v>
      </c>
      <c r="C8" s="7"/>
      <c r="D8" s="12" t="s">
        <v>19</v>
      </c>
      <c r="E8" s="100">
        <f>E5-E6-E7</f>
        <v>506.85374999999999</v>
      </c>
      <c r="F8" s="101">
        <f>E8/B23</f>
        <v>1.7477715517241379</v>
      </c>
      <c r="G8" s="7"/>
      <c r="H8" s="7"/>
      <c r="I8" s="7"/>
      <c r="J8" s="48"/>
      <c r="K8" s="48"/>
    </row>
    <row r="9" spans="1:27" ht="15.45" x14ac:dyDescent="0.4">
      <c r="A9" s="17" t="s">
        <v>20</v>
      </c>
      <c r="B9" s="18"/>
      <c r="C9" s="7"/>
      <c r="D9" s="19"/>
      <c r="E9" s="20"/>
      <c r="F9" s="21"/>
      <c r="G9" s="7"/>
      <c r="H9" s="7"/>
      <c r="I9" s="7"/>
      <c r="J9" s="48"/>
      <c r="K9" s="48"/>
    </row>
    <row r="10" spans="1:27" ht="15.45" x14ac:dyDescent="0.4">
      <c r="A10" s="99" t="s">
        <v>21</v>
      </c>
      <c r="B10" s="7"/>
      <c r="C10" s="7"/>
      <c r="D10" s="7"/>
      <c r="E10" s="7"/>
      <c r="F10" s="22"/>
      <c r="G10" s="7"/>
      <c r="H10" s="7"/>
      <c r="I10" s="7"/>
      <c r="J10" s="48"/>
      <c r="K10" s="48"/>
    </row>
    <row r="11" spans="1:27" ht="15.45" x14ac:dyDescent="0.4">
      <c r="A11" s="10" t="s">
        <v>22</v>
      </c>
      <c r="B11" s="102">
        <f>+Backgrounder!E41</f>
        <v>1.0853796231136132</v>
      </c>
      <c r="C11" s="7"/>
      <c r="D11" s="12" t="s">
        <v>23</v>
      </c>
      <c r="E11" s="103">
        <f>B11*B23</f>
        <v>314.76009070294782</v>
      </c>
      <c r="F11" s="101">
        <f t="shared" ref="F11:F17" si="0">E11/$B$23</f>
        <v>1.0853796231136132</v>
      </c>
      <c r="G11" s="7"/>
      <c r="H11" s="7"/>
      <c r="I11" s="7"/>
      <c r="J11" s="48"/>
      <c r="K11" s="48"/>
    </row>
    <row r="12" spans="1:27" ht="15.45" x14ac:dyDescent="0.4">
      <c r="A12" s="10" t="s">
        <v>24</v>
      </c>
      <c r="B12" s="23">
        <v>40</v>
      </c>
      <c r="C12" s="7"/>
      <c r="D12" s="10" t="s">
        <v>24</v>
      </c>
      <c r="E12" s="103">
        <f>B12</f>
        <v>40</v>
      </c>
      <c r="F12" s="101">
        <f t="shared" si="0"/>
        <v>0.13793103448275862</v>
      </c>
      <c r="G12" s="7"/>
      <c r="H12" s="7"/>
      <c r="I12" s="7"/>
      <c r="J12" s="48"/>
      <c r="K12" s="48"/>
    </row>
    <row r="13" spans="1:27" ht="15.45" x14ac:dyDescent="0.4">
      <c r="A13" s="10" t="s">
        <v>25</v>
      </c>
      <c r="B13" s="23">
        <v>50</v>
      </c>
      <c r="C13" s="7"/>
      <c r="D13" s="10" t="s">
        <v>25</v>
      </c>
      <c r="E13" s="103">
        <f>B13</f>
        <v>50</v>
      </c>
      <c r="F13" s="101">
        <f t="shared" si="0"/>
        <v>0.17241379310344829</v>
      </c>
      <c r="G13" s="7"/>
      <c r="H13" s="7"/>
      <c r="I13" s="7"/>
      <c r="J13" s="48"/>
      <c r="K13" s="48"/>
    </row>
    <row r="14" spans="1:27" ht="15.45" x14ac:dyDescent="0.4">
      <c r="A14" s="10" t="s">
        <v>26</v>
      </c>
      <c r="B14" s="24">
        <v>0.5</v>
      </c>
      <c r="C14" s="7"/>
      <c r="D14" s="12" t="s">
        <v>27</v>
      </c>
      <c r="E14" s="103">
        <f>B14*B7</f>
        <v>74</v>
      </c>
      <c r="F14" s="101">
        <f t="shared" si="0"/>
        <v>0.25517241379310346</v>
      </c>
      <c r="G14" s="93"/>
      <c r="H14" s="7"/>
      <c r="I14" s="7"/>
      <c r="J14" s="48"/>
      <c r="K14" s="48"/>
    </row>
    <row r="15" spans="1:27" ht="15.45" x14ac:dyDescent="0.4">
      <c r="A15" s="10" t="s">
        <v>97</v>
      </c>
      <c r="B15" s="25">
        <v>5.95</v>
      </c>
      <c r="C15" s="7"/>
      <c r="D15" s="12" t="s">
        <v>28</v>
      </c>
      <c r="E15" s="103">
        <f>(E6+E5)/2*B15*0.01*B7/365</f>
        <v>65.375502739726031</v>
      </c>
      <c r="F15" s="101">
        <f t="shared" si="0"/>
        <v>0.22543276806802079</v>
      </c>
      <c r="G15" s="7"/>
      <c r="H15" s="7"/>
      <c r="I15" s="7"/>
      <c r="J15" s="48"/>
      <c r="K15" s="48"/>
    </row>
    <row r="16" spans="1:27" ht="15.45" x14ac:dyDescent="0.4">
      <c r="A16" s="17"/>
      <c r="B16" s="26"/>
      <c r="C16" s="7"/>
      <c r="D16" s="12" t="s">
        <v>21</v>
      </c>
      <c r="E16" s="103">
        <f>SUM(E11:E15)</f>
        <v>544.13559344267389</v>
      </c>
      <c r="F16" s="101">
        <f t="shared" si="0"/>
        <v>1.8763296325609444</v>
      </c>
      <c r="G16" s="7"/>
      <c r="H16" s="7"/>
      <c r="I16" s="7"/>
      <c r="J16" s="48"/>
      <c r="K16" s="48"/>
    </row>
    <row r="17" spans="1:11" ht="15.45" x14ac:dyDescent="0.4">
      <c r="A17" s="17"/>
      <c r="B17" s="26"/>
      <c r="C17" s="7"/>
      <c r="D17" s="12" t="s">
        <v>29</v>
      </c>
      <c r="E17" s="100">
        <f>E8-E16</f>
        <v>-37.281843442673903</v>
      </c>
      <c r="F17" s="101">
        <f t="shared" si="0"/>
        <v>-0.12855808083680656</v>
      </c>
      <c r="G17" s="7"/>
      <c r="H17" s="7"/>
      <c r="I17" s="7"/>
      <c r="J17" s="48"/>
      <c r="K17" s="48"/>
    </row>
    <row r="18" spans="1:11" ht="15.45" x14ac:dyDescent="0.4">
      <c r="A18" s="6"/>
      <c r="B18" s="7"/>
      <c r="C18" s="7"/>
      <c r="D18" s="7"/>
      <c r="E18" s="7"/>
      <c r="F18" s="7"/>
      <c r="G18" s="7"/>
      <c r="H18" s="22"/>
      <c r="I18" s="7"/>
      <c r="J18" s="48"/>
      <c r="K18" s="48"/>
    </row>
    <row r="19" spans="1:11" ht="15.45" x14ac:dyDescent="0.4">
      <c r="A19" s="99" t="s">
        <v>30</v>
      </c>
      <c r="B19" s="27"/>
      <c r="C19" s="7"/>
      <c r="D19" s="7"/>
      <c r="E19" s="7"/>
      <c r="F19" s="7"/>
      <c r="G19" s="7"/>
      <c r="H19" s="22"/>
      <c r="I19" s="7"/>
      <c r="J19" s="48"/>
      <c r="K19" s="48"/>
    </row>
    <row r="20" spans="1:11" ht="15.45" x14ac:dyDescent="0.4">
      <c r="A20" s="10" t="s">
        <v>31</v>
      </c>
      <c r="B20" s="24">
        <v>3.51</v>
      </c>
      <c r="C20" s="7"/>
      <c r="D20" s="12" t="s">
        <v>32</v>
      </c>
      <c r="E20" s="100">
        <f>E16+E6+E7</f>
        <v>3020.7818434426736</v>
      </c>
      <c r="F20" s="101">
        <f>(E16+E6+E7)/B5</f>
        <v>3.5538609922854985</v>
      </c>
      <c r="G20" s="7"/>
      <c r="H20" s="7"/>
      <c r="I20" s="7"/>
      <c r="J20" s="48"/>
      <c r="K20" s="48"/>
    </row>
    <row r="21" spans="1:11" ht="15.45" x14ac:dyDescent="0.4">
      <c r="A21" s="10" t="s">
        <v>33</v>
      </c>
      <c r="B21" s="24">
        <v>4.3499999999999996</v>
      </c>
      <c r="C21" s="7"/>
      <c r="D21" s="12" t="s">
        <v>34</v>
      </c>
      <c r="E21" s="100">
        <f>(E5-E7-E16)</f>
        <v>2398.7181565573264</v>
      </c>
      <c r="F21" s="101">
        <f>(E5-E7-E16)/B6</f>
        <v>4.2834252795666545</v>
      </c>
      <c r="G21" s="7"/>
      <c r="H21" s="7"/>
      <c r="I21" s="7"/>
      <c r="J21" s="48"/>
      <c r="K21" s="48"/>
    </row>
    <row r="22" spans="1:11" ht="15" x14ac:dyDescent="0.35">
      <c r="A22" s="7"/>
      <c r="B22" s="7"/>
      <c r="C22" s="7"/>
      <c r="D22" s="7"/>
      <c r="E22" s="28"/>
      <c r="F22" s="28"/>
      <c r="G22" s="7"/>
      <c r="H22" s="7"/>
      <c r="I22" s="7"/>
      <c r="J22" s="48"/>
      <c r="K22" s="48"/>
    </row>
    <row r="23" spans="1:11" ht="15.45" x14ac:dyDescent="0.4">
      <c r="A23" s="12" t="s">
        <v>35</v>
      </c>
      <c r="B23" s="104">
        <f>B5-B6</f>
        <v>290</v>
      </c>
      <c r="C23" s="7"/>
      <c r="D23" s="12" t="s">
        <v>36</v>
      </c>
      <c r="E23" s="105">
        <f>B23/B7</f>
        <v>1.9594594594594594</v>
      </c>
      <c r="F23" s="28"/>
      <c r="G23" s="7"/>
      <c r="H23" s="7"/>
      <c r="I23" s="7"/>
      <c r="J23" s="48"/>
      <c r="K23" s="48"/>
    </row>
    <row r="24" spans="1:11" ht="15" x14ac:dyDescent="0.35">
      <c r="A24" s="7"/>
      <c r="B24" s="7"/>
      <c r="C24" s="7"/>
      <c r="D24" s="7"/>
      <c r="E24" s="7"/>
      <c r="F24" s="7"/>
      <c r="G24" s="7"/>
      <c r="H24" s="7"/>
      <c r="I24" s="7"/>
      <c r="J24" s="48"/>
      <c r="K24" s="48"/>
    </row>
    <row r="25" spans="1:11" ht="15" x14ac:dyDescent="0.35">
      <c r="A25" s="7"/>
      <c r="B25" s="7"/>
      <c r="C25" s="7"/>
      <c r="D25" s="7"/>
      <c r="E25" s="7"/>
      <c r="F25" s="7"/>
      <c r="G25" s="7"/>
      <c r="H25" s="7"/>
      <c r="I25" s="7"/>
      <c r="J25" s="48"/>
      <c r="K25" s="48"/>
    </row>
    <row r="26" spans="1:11" ht="15.45" x14ac:dyDescent="0.4">
      <c r="A26" s="99" t="s">
        <v>37</v>
      </c>
      <c r="B26" s="29" t="s">
        <v>38</v>
      </c>
      <c r="C26" s="7"/>
      <c r="D26" s="30" t="s">
        <v>39</v>
      </c>
      <c r="E26" s="49"/>
      <c r="F26" s="29" t="s">
        <v>40</v>
      </c>
      <c r="G26" s="7"/>
      <c r="H26" s="7"/>
      <c r="I26" s="7"/>
      <c r="J26" s="48"/>
      <c r="K26" s="48"/>
    </row>
    <row r="27" spans="1:11" ht="15.45" x14ac:dyDescent="0.4">
      <c r="A27" s="50" t="s">
        <v>41</v>
      </c>
      <c r="B27" s="50">
        <v>192</v>
      </c>
      <c r="C27" s="51"/>
      <c r="D27" s="52">
        <v>12.1</v>
      </c>
      <c r="E27" s="100">
        <f t="shared" ref="E27:E36" si="1">+(B27/1000/2.205)*D27*$B$7</f>
        <v>155.93360544217686</v>
      </c>
      <c r="F27" s="53">
        <v>0.9</v>
      </c>
      <c r="G27" s="54"/>
      <c r="H27" s="7"/>
      <c r="I27" s="7"/>
      <c r="J27" s="97"/>
      <c r="K27" s="48"/>
    </row>
    <row r="28" spans="1:11" ht="15.45" x14ac:dyDescent="0.4">
      <c r="A28" s="50" t="s">
        <v>42</v>
      </c>
      <c r="B28" s="50">
        <f>B27*0.5</f>
        <v>96</v>
      </c>
      <c r="C28" s="7"/>
      <c r="D28" s="52">
        <v>0</v>
      </c>
      <c r="E28" s="100">
        <f t="shared" si="1"/>
        <v>0</v>
      </c>
      <c r="F28" s="53">
        <v>0.45</v>
      </c>
      <c r="G28" s="54"/>
      <c r="H28" s="7"/>
      <c r="I28" s="7"/>
      <c r="J28" s="48"/>
      <c r="K28" s="48"/>
    </row>
    <row r="29" spans="1:11" ht="15.45" x14ac:dyDescent="0.4">
      <c r="A29" s="50" t="s">
        <v>43</v>
      </c>
      <c r="B29" s="50">
        <f>B30*0.1616</f>
        <v>38.460799999999999</v>
      </c>
      <c r="C29" s="7"/>
      <c r="D29" s="52">
        <v>0</v>
      </c>
      <c r="E29" s="100">
        <f t="shared" si="1"/>
        <v>0</v>
      </c>
      <c r="F29" s="53">
        <v>0.35</v>
      </c>
      <c r="G29" s="54"/>
      <c r="H29" s="7"/>
      <c r="I29" s="7"/>
      <c r="J29" s="48"/>
      <c r="K29" s="48"/>
    </row>
    <row r="30" spans="1:11" ht="15.45" x14ac:dyDescent="0.4">
      <c r="A30" s="50" t="s">
        <v>44</v>
      </c>
      <c r="B30" s="50">
        <v>238</v>
      </c>
      <c r="C30" s="7"/>
      <c r="D30" s="52">
        <v>6</v>
      </c>
      <c r="E30" s="100">
        <f t="shared" si="1"/>
        <v>95.847619047619034</v>
      </c>
      <c r="F30" s="53">
        <v>0.86</v>
      </c>
      <c r="G30" s="54"/>
      <c r="H30" s="7"/>
      <c r="I30" s="7"/>
      <c r="J30" s="97"/>
      <c r="K30" s="48"/>
    </row>
    <row r="31" spans="1:11" ht="15.45" x14ac:dyDescent="0.4">
      <c r="A31" s="50" t="s">
        <v>45</v>
      </c>
      <c r="B31" s="50">
        <v>0</v>
      </c>
      <c r="C31" s="7"/>
      <c r="D31" s="52">
        <v>0</v>
      </c>
      <c r="E31" s="100">
        <f t="shared" si="1"/>
        <v>0</v>
      </c>
      <c r="F31" s="53">
        <v>0.7</v>
      </c>
      <c r="G31" s="54"/>
      <c r="H31" s="7"/>
      <c r="I31" s="7"/>
      <c r="J31" s="48"/>
      <c r="K31" s="48"/>
    </row>
    <row r="32" spans="1:11" ht="15.45" x14ac:dyDescent="0.4">
      <c r="A32" s="50" t="s">
        <v>46</v>
      </c>
      <c r="B32" s="50">
        <v>733</v>
      </c>
      <c r="C32" s="7"/>
      <c r="D32" s="52">
        <v>1.1000000000000001</v>
      </c>
      <c r="E32" s="100">
        <f t="shared" si="1"/>
        <v>54.119002267573698</v>
      </c>
      <c r="F32" s="53">
        <v>0.9</v>
      </c>
      <c r="G32" s="54"/>
      <c r="H32" s="7"/>
      <c r="I32" s="7"/>
      <c r="J32" s="48"/>
      <c r="K32" s="48"/>
    </row>
    <row r="33" spans="1:11" ht="15.45" x14ac:dyDescent="0.4">
      <c r="A33" s="50" t="s">
        <v>47</v>
      </c>
      <c r="B33" s="50">
        <v>2000</v>
      </c>
      <c r="C33" s="7"/>
      <c r="D33" s="55">
        <v>6.6000000000000003E-2</v>
      </c>
      <c r="E33" s="100">
        <f t="shared" si="1"/>
        <v>8.8598639455782315</v>
      </c>
      <c r="F33" s="53">
        <v>1</v>
      </c>
      <c r="G33" s="54"/>
      <c r="H33" s="7"/>
      <c r="I33" s="7"/>
      <c r="J33" s="48"/>
      <c r="K33" s="48"/>
    </row>
    <row r="34" spans="1:11" ht="15.45" x14ac:dyDescent="0.4">
      <c r="A34" s="50" t="s">
        <v>48</v>
      </c>
      <c r="B34" s="50">
        <v>0</v>
      </c>
      <c r="C34" s="7"/>
      <c r="D34" s="52">
        <v>0</v>
      </c>
      <c r="E34" s="100">
        <f t="shared" si="1"/>
        <v>0</v>
      </c>
      <c r="F34" s="53">
        <v>0.86</v>
      </c>
      <c r="G34" s="54"/>
      <c r="H34" s="7"/>
      <c r="I34" s="7"/>
      <c r="J34" s="48"/>
      <c r="K34" s="48"/>
    </row>
    <row r="35" spans="1:11" ht="15.45" x14ac:dyDescent="0.4">
      <c r="A35" s="50" t="s">
        <v>89</v>
      </c>
      <c r="B35" s="50">
        <v>257</v>
      </c>
      <c r="C35" s="7"/>
      <c r="D35" s="52">
        <v>0</v>
      </c>
      <c r="E35" s="100">
        <f t="shared" si="1"/>
        <v>0</v>
      </c>
      <c r="F35" s="53">
        <v>0.9</v>
      </c>
      <c r="G35" s="54"/>
      <c r="H35" s="7"/>
      <c r="I35" s="7"/>
      <c r="J35" s="48"/>
      <c r="K35" s="48"/>
    </row>
    <row r="36" spans="1:11" ht="15.45" x14ac:dyDescent="0.4">
      <c r="A36" s="50" t="s">
        <v>49</v>
      </c>
      <c r="B36" s="50">
        <v>0</v>
      </c>
      <c r="C36" s="7"/>
      <c r="D36" s="52">
        <v>0</v>
      </c>
      <c r="E36" s="100">
        <f t="shared" si="1"/>
        <v>0</v>
      </c>
      <c r="F36" s="53"/>
      <c r="G36" s="54"/>
      <c r="H36" s="7"/>
      <c r="I36" s="7"/>
      <c r="J36" s="48"/>
      <c r="K36" s="48"/>
    </row>
    <row r="37" spans="1:11" ht="15.45" x14ac:dyDescent="0.4">
      <c r="A37" s="50"/>
      <c r="B37" s="31" t="s">
        <v>95</v>
      </c>
      <c r="C37" s="7"/>
      <c r="D37" s="52"/>
      <c r="E37" s="32"/>
      <c r="F37" s="56"/>
      <c r="G37" s="54"/>
      <c r="H37" s="7"/>
      <c r="I37" s="7"/>
      <c r="J37" s="48"/>
      <c r="K37" s="48"/>
    </row>
    <row r="38" spans="1:11" ht="15.45" x14ac:dyDescent="0.4">
      <c r="A38" s="50" t="s">
        <v>50</v>
      </c>
      <c r="B38" s="98">
        <v>0.9</v>
      </c>
      <c r="C38" s="51"/>
      <c r="D38" s="52" t="s">
        <v>51</v>
      </c>
      <c r="E38" s="50">
        <v>0</v>
      </c>
      <c r="F38" s="31" t="s">
        <v>51</v>
      </c>
      <c r="G38" s="54"/>
      <c r="H38" s="7"/>
      <c r="I38" s="7"/>
      <c r="J38" s="48"/>
      <c r="K38" s="48"/>
    </row>
    <row r="39" spans="1:11" ht="15" x14ac:dyDescent="0.35">
      <c r="A39" s="57"/>
      <c r="B39" s="7"/>
      <c r="C39" s="7"/>
      <c r="D39" s="7"/>
      <c r="E39" s="7"/>
      <c r="F39" s="7"/>
      <c r="G39" s="7"/>
      <c r="H39" s="7"/>
      <c r="I39" s="7"/>
      <c r="J39" s="48"/>
      <c r="K39" s="95"/>
    </row>
    <row r="40" spans="1:11" ht="15.45" x14ac:dyDescent="0.4">
      <c r="A40" s="57"/>
      <c r="B40" s="33" t="s">
        <v>52</v>
      </c>
      <c r="C40" s="33"/>
      <c r="D40" s="33"/>
      <c r="E40" s="100">
        <f>SUM(E27:E38)</f>
        <v>314.76009070294782</v>
      </c>
      <c r="F40" s="28"/>
      <c r="G40" s="28"/>
      <c r="H40" s="94"/>
      <c r="I40" s="7"/>
      <c r="J40" s="48"/>
      <c r="K40" s="96"/>
    </row>
    <row r="41" spans="1:11" ht="15.45" x14ac:dyDescent="0.4">
      <c r="A41" s="57"/>
      <c r="B41" s="33" t="s">
        <v>53</v>
      </c>
      <c r="C41" s="34"/>
      <c r="D41" s="34"/>
      <c r="E41" s="106">
        <f>+E40/B23</f>
        <v>1.0853796231136132</v>
      </c>
      <c r="F41" s="58" t="s">
        <v>54</v>
      </c>
      <c r="G41" s="28"/>
      <c r="H41" s="28"/>
      <c r="I41" s="7"/>
      <c r="J41" s="48"/>
      <c r="K41" s="95"/>
    </row>
    <row r="42" spans="1:11" ht="15.75" customHeight="1" x14ac:dyDescent="0.4">
      <c r="A42" s="7"/>
      <c r="B42" s="33" t="s">
        <v>55</v>
      </c>
      <c r="C42" s="35"/>
      <c r="D42" s="36"/>
      <c r="E42" s="107">
        <f>IF(E38=0,((D27*F27)+(D28*F28)+(D29*F29)+(D30*F30)+(D31*F31)+(D32*F32)+(D33*F33)+(D34*F34)+(D35*F35)+(D36*F36)),"n/a")</f>
        <v>17.105999999999998</v>
      </c>
      <c r="F42" s="108">
        <f>IF(E38=0,E42/((B5+B6)/2),"n/a")</f>
        <v>2.4263829787234039E-2</v>
      </c>
      <c r="G42" s="109" t="str">
        <f>IF(E38=0,(IF(E42&gt;(0.025*((B5+B6)/2)),"Too much dry matter, check feed fed - "&amp;ROUND(E42,2),IF(E42&lt;(0.022*((B5+B6)/2)),"Too little dry matter, check feed fed - "&amp;ROUND(E42,2),
"O.K.  Dry matter within 2.2 to 2.5% of body weight."))),"n/a")</f>
        <v>O.K.  Dry matter within 2.2 to 2.5% of body weight.</v>
      </c>
      <c r="H42" s="59"/>
      <c r="I42" s="60"/>
      <c r="J42" s="61"/>
      <c r="K42" s="62"/>
    </row>
    <row r="43" spans="1:11" ht="23.25" customHeight="1" x14ac:dyDescent="0.4">
      <c r="A43" s="7"/>
      <c r="B43" s="33" t="s">
        <v>56</v>
      </c>
      <c r="C43" s="34"/>
      <c r="D43" s="34"/>
      <c r="E43" s="107">
        <f>IF(E38=0,((D27*F27+D28*F28+D29*F29+D30*F30+D31*F31+D32*F32+D33*F33+D34*F34+D35*F35+D36*F36+D37*F37)*B7/B23),"n/a")</f>
        <v>8.7299586206896542</v>
      </c>
      <c r="F43" s="28"/>
      <c r="G43" s="63"/>
      <c r="H43" s="63"/>
      <c r="I43" s="7"/>
      <c r="J43" s="48"/>
      <c r="K43" s="48"/>
    </row>
    <row r="44" spans="1:11" ht="17.25" customHeight="1" x14ac:dyDescent="0.35">
      <c r="A44" s="7"/>
      <c r="B44" s="7"/>
      <c r="C44" s="7"/>
      <c r="D44" s="7"/>
      <c r="E44" s="7"/>
      <c r="F44" s="7"/>
      <c r="G44" s="64"/>
      <c r="H44" s="64"/>
      <c r="I44" s="7"/>
      <c r="J44" s="48"/>
      <c r="K44" s="48"/>
    </row>
    <row r="45" spans="1:11" ht="15.45" x14ac:dyDescent="0.4">
      <c r="A45" s="8" t="s">
        <v>57</v>
      </c>
      <c r="B45" s="8"/>
      <c r="C45" s="8"/>
      <c r="D45" s="8"/>
      <c r="E45" s="8"/>
      <c r="F45" s="8"/>
      <c r="G45" s="7"/>
      <c r="H45" s="7"/>
      <c r="I45" s="7"/>
      <c r="J45" s="48"/>
      <c r="K45" s="48"/>
    </row>
    <row r="46" spans="1:11" ht="15" x14ac:dyDescent="0.35">
      <c r="A46" s="7"/>
      <c r="B46" s="7"/>
      <c r="C46" s="7"/>
      <c r="D46" s="7"/>
      <c r="E46" s="7"/>
      <c r="F46" s="7"/>
      <c r="G46" s="7"/>
      <c r="H46" s="7"/>
      <c r="I46" s="7"/>
      <c r="J46" s="48"/>
      <c r="K46" s="48"/>
    </row>
    <row r="47" spans="1:11" ht="15" x14ac:dyDescent="0.35">
      <c r="A47" s="7"/>
      <c r="B47" s="7"/>
      <c r="C47" s="7"/>
      <c r="D47" s="7"/>
      <c r="E47" s="7"/>
      <c r="F47" s="7"/>
      <c r="G47" s="7"/>
      <c r="H47" s="7"/>
      <c r="I47" s="7"/>
      <c r="J47" s="48"/>
      <c r="K47" s="48"/>
    </row>
    <row r="48" spans="1:11" ht="15.45" x14ac:dyDescent="0.4">
      <c r="A48" s="65" t="s">
        <v>58</v>
      </c>
      <c r="B48" s="66"/>
      <c r="C48" s="66"/>
      <c r="D48" s="66"/>
      <c r="E48" s="66"/>
      <c r="F48" s="66"/>
      <c r="G48" s="66"/>
      <c r="H48" s="66"/>
      <c r="I48" s="67"/>
      <c r="J48" s="48"/>
      <c r="K48" s="48"/>
    </row>
    <row r="49" spans="1:11" ht="15" x14ac:dyDescent="0.35">
      <c r="A49" s="7" t="s">
        <v>59</v>
      </c>
      <c r="B49" s="7"/>
      <c r="C49" s="7"/>
      <c r="D49" s="7"/>
      <c r="E49" s="7"/>
      <c r="F49" s="7"/>
      <c r="G49" s="7"/>
      <c r="H49" s="7"/>
      <c r="I49" s="68"/>
      <c r="J49" s="48"/>
      <c r="K49" s="48"/>
    </row>
    <row r="50" spans="1:11" ht="15" x14ac:dyDescent="0.35">
      <c r="A50" s="7" t="s">
        <v>60</v>
      </c>
      <c r="B50" s="7"/>
      <c r="C50" s="7"/>
      <c r="D50" s="7"/>
      <c r="E50" s="7"/>
      <c r="F50" s="7"/>
      <c r="G50" s="7"/>
      <c r="H50" s="7"/>
      <c r="I50" s="68"/>
      <c r="J50" s="48"/>
      <c r="K50" s="48"/>
    </row>
    <row r="51" spans="1:11" ht="15" x14ac:dyDescent="0.35">
      <c r="A51" s="7" t="s">
        <v>61</v>
      </c>
      <c r="B51" s="7"/>
      <c r="C51" s="7"/>
      <c r="D51" s="7"/>
      <c r="E51" s="7"/>
      <c r="F51" s="7"/>
      <c r="G51" s="7"/>
      <c r="H51" s="7"/>
      <c r="I51" s="68"/>
      <c r="J51" s="48"/>
      <c r="K51" s="48"/>
    </row>
    <row r="52" spans="1:11" ht="15" x14ac:dyDescent="0.35">
      <c r="A52" s="7" t="s">
        <v>62</v>
      </c>
      <c r="B52" s="7"/>
      <c r="C52" s="7"/>
      <c r="D52" s="7"/>
      <c r="E52" s="7"/>
      <c r="F52" s="7"/>
      <c r="G52" s="7"/>
      <c r="H52" s="7"/>
      <c r="I52" s="68"/>
      <c r="J52" s="48"/>
      <c r="K52" s="48"/>
    </row>
    <row r="53" spans="1:11" ht="15" x14ac:dyDescent="0.35">
      <c r="A53" s="7" t="s">
        <v>63</v>
      </c>
      <c r="B53" s="7"/>
      <c r="C53" s="7"/>
      <c r="D53" s="7"/>
      <c r="E53" s="7"/>
      <c r="F53" s="7"/>
      <c r="G53" s="7"/>
      <c r="H53" s="7"/>
      <c r="I53" s="68"/>
      <c r="J53" s="48"/>
      <c r="K53" s="48"/>
    </row>
    <row r="54" spans="1:11" ht="15" x14ac:dyDescent="0.35">
      <c r="A54" s="7" t="s">
        <v>64</v>
      </c>
      <c r="B54" s="7"/>
      <c r="C54" s="7"/>
      <c r="D54" s="7"/>
      <c r="E54" s="7"/>
      <c r="F54" s="7"/>
      <c r="G54" s="7"/>
      <c r="H54" s="7"/>
      <c r="I54" s="68"/>
      <c r="J54" s="48"/>
      <c r="K54" s="48"/>
    </row>
    <row r="55" spans="1:11" ht="15" x14ac:dyDescent="0.35">
      <c r="A55" s="7" t="s">
        <v>65</v>
      </c>
      <c r="B55" s="7"/>
      <c r="C55" s="7"/>
      <c r="D55" s="7"/>
      <c r="E55" s="7"/>
      <c r="F55" s="7"/>
      <c r="G55" s="7"/>
      <c r="H55" s="7"/>
      <c r="I55" s="68"/>
      <c r="J55" s="48"/>
      <c r="K55" s="48"/>
    </row>
    <row r="56" spans="1:11" ht="15" x14ac:dyDescent="0.35">
      <c r="A56" s="7"/>
      <c r="B56" s="7"/>
      <c r="C56" s="7"/>
      <c r="D56" s="7"/>
      <c r="E56" s="7"/>
      <c r="F56" s="7"/>
      <c r="G56" s="7"/>
      <c r="H56" s="7"/>
      <c r="I56" s="68"/>
      <c r="J56" s="48"/>
      <c r="K56" s="48"/>
    </row>
    <row r="57" spans="1:11" ht="15.45" x14ac:dyDescent="0.4">
      <c r="A57" s="7"/>
      <c r="B57" s="7"/>
      <c r="C57" s="7"/>
      <c r="D57" s="69" t="s">
        <v>66</v>
      </c>
      <c r="E57" s="7"/>
      <c r="F57" s="7"/>
      <c r="G57" s="7"/>
      <c r="H57" s="7"/>
      <c r="I57" s="68"/>
      <c r="J57" s="48"/>
      <c r="K57" s="48"/>
    </row>
    <row r="58" spans="1:11" ht="15.9" thickBot="1" x14ac:dyDescent="0.45">
      <c r="A58" s="8" t="s">
        <v>67</v>
      </c>
      <c r="B58" s="37" t="s">
        <v>68</v>
      </c>
      <c r="C58" s="7"/>
      <c r="D58" s="70" t="s">
        <v>69</v>
      </c>
      <c r="E58" s="37" t="s">
        <v>70</v>
      </c>
      <c r="F58" s="8"/>
      <c r="G58" s="8" t="s">
        <v>71</v>
      </c>
      <c r="H58" s="7"/>
      <c r="I58" s="68"/>
      <c r="J58" s="48"/>
      <c r="K58" s="48"/>
    </row>
    <row r="59" spans="1:11" ht="15.9" thickBot="1" x14ac:dyDescent="0.45">
      <c r="A59" s="7" t="s">
        <v>72</v>
      </c>
      <c r="B59" s="38">
        <f>B20</f>
        <v>3.51</v>
      </c>
      <c r="C59" s="7"/>
      <c r="D59" s="43" t="s">
        <v>73</v>
      </c>
      <c r="E59" s="39">
        <v>0</v>
      </c>
      <c r="F59" s="7"/>
      <c r="G59" s="43" t="s">
        <v>74</v>
      </c>
      <c r="H59" s="38">
        <f>IF(E59=0,B59,IF(E59&gt;0,B59*(1+E59),B59*(1-(ABS(E59)))))</f>
        <v>3.51</v>
      </c>
      <c r="I59" s="68"/>
      <c r="J59" s="48"/>
      <c r="K59" s="48"/>
    </row>
    <row r="60" spans="1:11" ht="15.9" thickBot="1" x14ac:dyDescent="0.45">
      <c r="A60" s="7" t="s">
        <v>75</v>
      </c>
      <c r="B60" s="38">
        <f>B21</f>
        <v>4.3499999999999996</v>
      </c>
      <c r="C60" s="7"/>
      <c r="D60" s="43" t="s">
        <v>76</v>
      </c>
      <c r="E60" s="39">
        <v>0</v>
      </c>
      <c r="F60" s="7"/>
      <c r="G60" s="43" t="s">
        <v>77</v>
      </c>
      <c r="H60" s="38">
        <f>IF(E60=0,B60,IF(E60&gt;0,B60*(1+E60),B60*(1-(ABS(E60)))))</f>
        <v>4.3499999999999996</v>
      </c>
      <c r="I60" s="68"/>
      <c r="J60" s="48"/>
      <c r="K60" s="48"/>
    </row>
    <row r="61" spans="1:11" ht="15.9" thickBot="1" x14ac:dyDescent="0.45">
      <c r="A61" s="7" t="s">
        <v>21</v>
      </c>
      <c r="B61" s="38">
        <f>F16</f>
        <v>1.8763296325609444</v>
      </c>
      <c r="C61" s="7"/>
      <c r="D61" s="43" t="s">
        <v>78</v>
      </c>
      <c r="E61" s="39">
        <v>0</v>
      </c>
      <c r="F61" s="7"/>
      <c r="G61" s="43" t="s">
        <v>79</v>
      </c>
      <c r="H61" s="38">
        <f>IF(E61=0,B61,IF(E61&gt;0,B61*(1+E61),B61*(1-(ABS(E61)))))</f>
        <v>1.8763296325609444</v>
      </c>
      <c r="I61" s="68"/>
      <c r="J61" s="48"/>
      <c r="K61" s="48"/>
    </row>
    <row r="62" spans="1:11" ht="15" x14ac:dyDescent="0.35">
      <c r="A62" s="7"/>
      <c r="B62" s="7"/>
      <c r="C62" s="7"/>
      <c r="D62" s="7"/>
      <c r="E62" s="7"/>
      <c r="F62" s="7"/>
      <c r="G62" s="7"/>
      <c r="H62" s="7"/>
      <c r="I62" s="68"/>
      <c r="J62" s="48"/>
      <c r="K62" s="48"/>
    </row>
    <row r="63" spans="1:11" ht="46.75" thickBot="1" x14ac:dyDescent="0.45">
      <c r="A63" s="7"/>
      <c r="B63" s="71" t="s">
        <v>80</v>
      </c>
      <c r="C63" s="7"/>
      <c r="D63" s="7"/>
      <c r="E63" s="7"/>
      <c r="F63" s="7"/>
      <c r="G63" s="89"/>
      <c r="H63" s="68"/>
      <c r="I63" s="68"/>
      <c r="J63" s="48"/>
      <c r="K63" s="48"/>
    </row>
    <row r="64" spans="1:11" ht="15.9" thickBot="1" x14ac:dyDescent="0.45">
      <c r="A64" s="7"/>
      <c r="B64" s="40">
        <f>E17</f>
        <v>-37.281843442673903</v>
      </c>
      <c r="C64" s="87" t="s">
        <v>81</v>
      </c>
      <c r="D64" s="72"/>
      <c r="E64" s="72"/>
      <c r="F64" s="73"/>
      <c r="G64" s="88"/>
      <c r="H64" s="90"/>
      <c r="I64" s="68"/>
      <c r="J64" s="48"/>
      <c r="K64" s="48"/>
    </row>
    <row r="65" spans="1:11" ht="15.45" x14ac:dyDescent="0.4">
      <c r="A65" s="7"/>
      <c r="B65" s="41"/>
      <c r="C65" s="74"/>
      <c r="D65" s="68"/>
      <c r="E65" s="68"/>
      <c r="F65" s="7"/>
      <c r="G65" s="7"/>
      <c r="H65" s="68"/>
      <c r="I65" s="68"/>
      <c r="J65" s="48"/>
      <c r="K65" s="48"/>
    </row>
    <row r="66" spans="1:11" ht="15.45" thickBot="1" x14ac:dyDescent="0.4">
      <c r="A66" s="7"/>
      <c r="B66" s="75"/>
      <c r="C66" s="7"/>
      <c r="D66" s="7"/>
      <c r="E66" s="7"/>
      <c r="F66" s="7"/>
      <c r="G66" s="7"/>
      <c r="H66" s="7"/>
      <c r="I66" s="68"/>
      <c r="J66" s="48"/>
      <c r="K66" s="48"/>
    </row>
    <row r="67" spans="1:11" ht="15.9" thickBot="1" x14ac:dyDescent="0.45">
      <c r="A67" s="7"/>
      <c r="B67" s="42">
        <f>AA3-AA4-AA5</f>
        <v>-37.281843442673676</v>
      </c>
      <c r="C67" s="76" t="s">
        <v>82</v>
      </c>
      <c r="D67" s="72"/>
      <c r="E67" s="72"/>
      <c r="F67" s="73"/>
      <c r="G67" s="7"/>
      <c r="H67" s="7"/>
      <c r="I67" s="68"/>
      <c r="J67" s="48"/>
      <c r="K67" s="48"/>
    </row>
    <row r="68" spans="1:11" ht="15" x14ac:dyDescent="0.35">
      <c r="A68" s="7"/>
      <c r="B68" s="7"/>
      <c r="C68" s="77"/>
      <c r="D68" s="77"/>
      <c r="E68" s="77"/>
      <c r="F68" s="7"/>
      <c r="G68" s="7"/>
      <c r="H68" s="7"/>
      <c r="I68" s="68"/>
      <c r="J68" s="48"/>
      <c r="K68" s="48"/>
    </row>
    <row r="69" spans="1:11" ht="15.45" x14ac:dyDescent="0.4">
      <c r="A69" s="8" t="s">
        <v>83</v>
      </c>
      <c r="B69" s="7"/>
      <c r="C69" s="7"/>
      <c r="D69" s="7"/>
      <c r="E69" s="7"/>
      <c r="F69" s="7"/>
      <c r="G69" s="7"/>
      <c r="H69" s="7"/>
      <c r="I69" s="68"/>
      <c r="J69" s="48"/>
      <c r="K69" s="48"/>
    </row>
    <row r="70" spans="1:11" ht="15" x14ac:dyDescent="0.35">
      <c r="A70" s="7" t="s">
        <v>84</v>
      </c>
      <c r="B70" s="7"/>
      <c r="C70" s="7"/>
      <c r="D70" s="43"/>
      <c r="E70" s="7"/>
      <c r="F70" s="7"/>
      <c r="G70" s="7"/>
      <c r="H70" s="7"/>
      <c r="I70" s="7"/>
      <c r="J70" s="48"/>
      <c r="K70" s="48"/>
    </row>
    <row r="71" spans="1:11" ht="15" x14ac:dyDescent="0.35">
      <c r="A71" s="7" t="s">
        <v>85</v>
      </c>
      <c r="B71" s="7"/>
      <c r="C71" s="7"/>
      <c r="D71" s="7"/>
      <c r="E71" s="7"/>
      <c r="F71" s="7"/>
      <c r="G71" s="7"/>
      <c r="H71" s="7"/>
      <c r="I71" s="7"/>
      <c r="J71" s="48"/>
      <c r="K71" s="48"/>
    </row>
    <row r="72" spans="1:11" ht="15" x14ac:dyDescent="0.35">
      <c r="A72" s="7"/>
      <c r="B72" s="7"/>
      <c r="C72" s="7"/>
      <c r="D72" s="7"/>
      <c r="E72" s="7"/>
      <c r="F72" s="7"/>
      <c r="G72" s="7"/>
      <c r="H72" s="7"/>
      <c r="I72" s="7"/>
      <c r="J72" s="48"/>
      <c r="K72" s="48"/>
    </row>
    <row r="73" spans="1:11" ht="15" x14ac:dyDescent="0.35">
      <c r="A73" s="7" t="s">
        <v>86</v>
      </c>
      <c r="B73" s="7"/>
      <c r="C73" s="7"/>
      <c r="D73" s="7"/>
      <c r="E73" s="7"/>
      <c r="F73" s="7"/>
      <c r="G73" s="7"/>
      <c r="H73" s="7"/>
      <c r="I73" s="7"/>
      <c r="J73" s="78"/>
      <c r="K73" s="78"/>
    </row>
    <row r="74" spans="1:11" ht="15" x14ac:dyDescent="0.35">
      <c r="A74" s="79" t="s">
        <v>87</v>
      </c>
      <c r="B74" s="79"/>
      <c r="C74" s="79"/>
      <c r="D74" s="79"/>
      <c r="E74" s="79"/>
      <c r="F74" s="79"/>
      <c r="G74" s="79"/>
      <c r="H74" s="79"/>
      <c r="I74" s="79"/>
      <c r="J74" s="48"/>
      <c r="K74" s="48"/>
    </row>
    <row r="75" spans="1:11" ht="15" x14ac:dyDescent="0.35">
      <c r="A75" s="80" t="s">
        <v>88</v>
      </c>
      <c r="B75" s="81"/>
      <c r="C75" s="81"/>
      <c r="D75" s="81"/>
      <c r="E75" s="81"/>
      <c r="F75" s="81"/>
      <c r="G75" s="81"/>
      <c r="H75" s="81"/>
      <c r="I75" s="81"/>
      <c r="J75" s="48"/>
      <c r="K75" s="48"/>
    </row>
    <row r="76" spans="1:11" ht="15" x14ac:dyDescent="0.35">
      <c r="A76" s="82" t="s">
        <v>91</v>
      </c>
      <c r="B76" s="81"/>
      <c r="C76" s="81"/>
      <c r="D76" s="81"/>
      <c r="E76" s="81"/>
      <c r="F76" s="81"/>
      <c r="G76" s="81"/>
      <c r="H76" s="81"/>
      <c r="I76" s="81"/>
      <c r="J76" s="48"/>
      <c r="K76" s="48"/>
    </row>
    <row r="77" spans="1:11" ht="15" x14ac:dyDescent="0.35">
      <c r="A77" s="83" t="s">
        <v>92</v>
      </c>
      <c r="B77" s="84"/>
      <c r="C77" s="84"/>
      <c r="D77" s="84"/>
      <c r="E77" s="84"/>
      <c r="F77" s="84"/>
      <c r="G77" s="84"/>
      <c r="H77" s="84"/>
      <c r="I77" s="84"/>
      <c r="J77" s="78"/>
      <c r="K77" s="78"/>
    </row>
  </sheetData>
  <phoneticPr fontId="0" type="noConversion"/>
  <conditionalFormatting sqref="E59:E61">
    <cfRule type="cellIs" dxfId="2" priority="1" stopIfTrue="1" operator="lessThan">
      <formula>0</formula>
    </cfRule>
  </conditionalFormatting>
  <conditionalFormatting sqref="B67">
    <cfRule type="cellIs" dxfId="1" priority="2" stopIfTrue="1" operator="lessThan">
      <formula>0</formula>
    </cfRule>
  </conditionalFormatting>
  <conditionalFormatting sqref="B64:B65">
    <cfRule type="cellIs" dxfId="0" priority="3" stopIfTrue="1" operator="lessThan">
      <formula>0</formula>
    </cfRule>
  </conditionalFormatting>
  <hyperlinks>
    <hyperlink ref="A77" r:id="rId1" xr:uid="{00000000-0004-0000-0100-000000000000}"/>
    <hyperlink ref="A76" r:id="rId2" xr:uid="{00000000-0004-0000-0100-000001000000}"/>
  </hyperlinks>
  <printOptions horizontalCentered="1"/>
  <pageMargins left="0.25" right="0.25" top="0.5" bottom="0.38" header="0.4" footer="0.2"/>
  <pageSetup scale="30" orientation="portrait" blackAndWhite="1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42F08D5C4194AB3AA6AD98986A4CA" ma:contentTypeVersion="53" ma:contentTypeDescription="Create a new document." ma:contentTypeScope="" ma:versionID="aaca7cfefa3a00f57e9f32d290730bc9">
  <xsd:schema xmlns:xsd="http://www.w3.org/2001/XMLSchema" xmlns:xs="http://www.w3.org/2001/XMLSchema" xmlns:p="http://schemas.microsoft.com/office/2006/metadata/properties" xmlns:ns2="9d38d736-0ce9-4dad-a921-92d39cb0d1f8" xmlns:ns3="a0633713-7183-4e0c-a7f3-9aefb849a633" targetNamespace="http://schemas.microsoft.com/office/2006/metadata/properties" ma:root="true" ma:fieldsID="d5eb50a0df51c90da3c29e772ac3ef45" ns2:_="" ns3:_="">
    <xsd:import namespace="9d38d736-0ce9-4dad-a921-92d39cb0d1f8"/>
    <xsd:import namespace="a0633713-7183-4e0c-a7f3-9aefb849a63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8d736-0ce9-4dad-a921-92d39cb0d1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3fd262-f747-430a-9d72-58e750b831fb}" ma:internalName="TaxCatchAll" ma:showField="CatchAllData" ma:web="9d38d736-0ce9-4dad-a921-92d39cb0d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3713-7183-4e0c-a7f3-9aefb849a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33713-7183-4e0c-a7f3-9aefb849a633">
      <Terms xmlns="http://schemas.microsoft.com/office/infopath/2007/PartnerControls"/>
    </lcf76f155ced4ddcb4097134ff3c332f>
    <TaxCatchAll xmlns="9d38d736-0ce9-4dad-a921-92d39cb0d1f8" xsi:nil="true"/>
  </documentManagement>
</p:properties>
</file>

<file path=customXml/itemProps1.xml><?xml version="1.0" encoding="utf-8"?>
<ds:datastoreItem xmlns:ds="http://schemas.openxmlformats.org/officeDocument/2006/customXml" ds:itemID="{7C85ED5E-0F8C-4197-8FA2-23FF3552073F}"/>
</file>

<file path=customXml/itemProps2.xml><?xml version="1.0" encoding="utf-8"?>
<ds:datastoreItem xmlns:ds="http://schemas.openxmlformats.org/officeDocument/2006/customXml" ds:itemID="{D2F1B634-A2E4-43A1-9A96-9C6579CFD170}"/>
</file>

<file path=customXml/itemProps3.xml><?xml version="1.0" encoding="utf-8"?>
<ds:datastoreItem xmlns:ds="http://schemas.openxmlformats.org/officeDocument/2006/customXml" ds:itemID="{F14DDC15-4D04-494F-8037-707215356100}"/>
</file>

<file path=customXml/itemProps4.xml><?xml version="1.0" encoding="utf-8"?>
<ds:datastoreItem xmlns:ds="http://schemas.openxmlformats.org/officeDocument/2006/customXml" ds:itemID="{E5D1ABC3-134C-493C-8069-13788A5A0E8D}"/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FeedNotes</vt:lpstr>
      <vt:lpstr>Backgrounder</vt:lpstr>
    </vt:vector>
  </TitlesOfParts>
  <Company>OMAFRA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Molenhuis</dc:creator>
  <cp:lastModifiedBy>Molenhuis, John (OMAFA)</cp:lastModifiedBy>
  <cp:lastPrinted>2005-06-27T14:56:14Z</cp:lastPrinted>
  <dcterms:created xsi:type="dcterms:W3CDTF">2003-10-17T15:08:57Z</dcterms:created>
  <dcterms:modified xsi:type="dcterms:W3CDTF">2025-05-08T18:39:21Z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john.molenhuis@ontario.ca</vt:lpwstr>
  </property>
  <property fmtid="{D5CDD505-2E9C-101B-9397-08002B2CF9AE}" pid="5" name="MSIP_Label_034a106e-6316-442c-ad35-738afd673d2b_SetDate">
    <vt:lpwstr>2020-04-06T17:35:22.9813775Z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75b22442-d9d9-46b6-9879-aa1da35688c9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  <property fmtid="{D5CDD505-2E9C-101B-9397-08002B2CF9AE}" pid="11" name="ContentTypeId">
    <vt:lpwstr>0x01010043842F08D5C4194AB3AA6AD98986A4CA</vt:lpwstr>
  </property>
</Properties>
</file>