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5015" windowHeight="7995" activeTab="0"/>
  </bookViews>
  <sheets>
    <sheet name="Notes Lamb Finishing" sheetId="1" r:id="rId1"/>
    <sheet name="Lamb Finishing COP" sheetId="2" r:id="rId2"/>
  </sheets>
  <externalReferences>
    <externalReference r:id="rId5"/>
  </externalReferences>
  <definedNames>
    <definedName name="atat">#REF!</definedName>
    <definedName name="basefat">#REF!</definedName>
    <definedName name="baseprotein">#REF!</definedName>
    <definedName name="contractmilk">#REF!</definedName>
    <definedName name="deductions">#REF!</definedName>
    <definedName name="milkproduced">#REF!</definedName>
    <definedName name="_xlnm.Print_Area" localSheetId="1">'Lamb Finishing COP'!$A$2:$L$101,'Lamb Finishing COP'!$M$2:$U$25</definedName>
    <definedName name="_xlnm.Print_Area" localSheetId="0">'Notes Lamb Finishing'!$A$2:$A$18</definedName>
    <definedName name="yourquota">#REF!</definedName>
  </definedNames>
  <calcPr fullCalcOnLoad="1"/>
</workbook>
</file>

<file path=xl/sharedStrings.xml><?xml version="1.0" encoding="utf-8"?>
<sst xmlns="http://schemas.openxmlformats.org/spreadsheetml/2006/main" count="173" uniqueCount="143">
  <si>
    <t>Lamb Finishing
Cost of Production Calculator</t>
  </si>
  <si>
    <t xml:space="preserve">This  program focuses on the economics of feeding lambs and features such things as calculating the total cost of gain, feed efficiency and net return/animal.  </t>
  </si>
  <si>
    <t xml:space="preserve"> </t>
  </si>
  <si>
    <t xml:space="preserve">It's a program that can evaluate past performance, as well as projecting ahead It allows you to look at "what if" scenarios.  Just overwrite the green numbers on the sample cost of production budgets. </t>
  </si>
  <si>
    <t>This calculator has been adapted from a number of lamb finishing budgets, most notably those from Virginia State Extension Services and Ohio State Extension Services</t>
  </si>
  <si>
    <t>Developed by:</t>
  </si>
  <si>
    <t>Anita O'Brien, Sheep and Goat Specialist</t>
  </si>
  <si>
    <t>John Molenhuis, Business Analysis and Cost of Production Program Lead</t>
  </si>
  <si>
    <t>For more information contact:</t>
  </si>
  <si>
    <t>Agricultural Information Contact Centre</t>
  </si>
  <si>
    <t>1-877-424-1300</t>
  </si>
  <si>
    <t xml:space="preserve">  $ Lamb Finishing Cost of Production Calculator $</t>
  </si>
  <si>
    <t>Risk Analysis</t>
  </si>
  <si>
    <t>Expected returns are subject to the risk of fluctuations in both revenue and expenses.</t>
  </si>
  <si>
    <t>Year</t>
  </si>
  <si>
    <t xml:space="preserve">Increases in sale prices received, decreases in replacement prices, decreases in your cost of production and decreases in your lamb death loss will have </t>
  </si>
  <si>
    <t>Date</t>
  </si>
  <si>
    <t xml:space="preserve">positive impacts on your net return.  Conversely, sale price decreases, increases in replacement prices, increases to your cost of production and your death loss </t>
  </si>
  <si>
    <t xml:space="preserve">Number Lambs </t>
  </si>
  <si>
    <t>will have negative impacts on your net return.  The expected values that you inputted above for the key feedlot risk variables are displayed below on the left.</t>
  </si>
  <si>
    <t>Start Weight (lbs)</t>
  </si>
  <si>
    <t>lbs</t>
  </si>
  <si>
    <t>Change the key risk variables identified for the lamb feedlot enterprise in the boxes provided to the right to see how they will affect your net return.</t>
  </si>
  <si>
    <t>Finish Weight (lbs)</t>
  </si>
  <si>
    <t>Average Daily Gain</t>
  </si>
  <si>
    <t>lbs /day</t>
  </si>
  <si>
    <t>Enter negative values if you would like to decrease the value of the variable and positive values to increase the value.</t>
  </si>
  <si>
    <t>Days on Feed</t>
  </si>
  <si>
    <t>Enter zero for any variable you would like to remain at the same level as specified in the Expected section.</t>
  </si>
  <si>
    <t>% of lambs shorn</t>
  </si>
  <si>
    <t>Expected values (from calculator):</t>
  </si>
  <si>
    <t>Change Key Feedlot Risk Variables:</t>
  </si>
  <si>
    <t xml:space="preserve"> + / - %</t>
  </si>
  <si>
    <t>Results of the change:</t>
  </si>
  <si>
    <t>Expected Sale price ($/lb)</t>
  </si>
  <si>
    <t>Percent Change in Sale price</t>
  </si>
  <si>
    <t>New sale price:</t>
  </si>
  <si>
    <t>new sale</t>
  </si>
  <si>
    <t>Purchase price ($/ lb)</t>
  </si>
  <si>
    <t>days lambs on pasture</t>
  </si>
  <si>
    <t>Expected Purchase Price ($/lb)</t>
  </si>
  <si>
    <t>Percent Change in Purchase Price</t>
  </si>
  <si>
    <t>New purchase price:</t>
  </si>
  <si>
    <t>new purchase</t>
  </si>
  <si>
    <t>Expected Cost of Gain/lb</t>
  </si>
  <si>
    <t>Percent change in Cost of Gain</t>
  </si>
  <si>
    <t>New Cost of Gain:</t>
  </si>
  <si>
    <t>new cost of gain</t>
  </si>
  <si>
    <t>using lambs before death loss</t>
  </si>
  <si>
    <t>Feed Conversion: 1 lb gain per</t>
  </si>
  <si>
    <t>lbs feed</t>
  </si>
  <si>
    <t>ADG on pasture (lbs/day)</t>
  </si>
  <si>
    <t>Expected Lamb Death Loss</t>
  </si>
  <si>
    <t>Percent change in Lamb Death Loss</t>
  </si>
  <si>
    <t>New Lamb Death Loss:</t>
  </si>
  <si>
    <t>Net Return Per Lamb</t>
  </si>
  <si>
    <t>other VC</t>
  </si>
  <si>
    <t>new cost for interest calculation</t>
  </si>
  <si>
    <t>ITEM</t>
  </si>
  <si>
    <t>WEIGHT</t>
  </si>
  <si>
    <t>UNIT</t>
  </si>
  <si>
    <t>PRICE /UNIT</t>
  </si>
  <si>
    <t>QUANTITY</t>
  </si>
  <si>
    <t>TOTAL</t>
  </si>
  <si>
    <t>Net return per head before changes to Key Feedlot Risk Variables</t>
  </si>
  <si>
    <t>net after changes</t>
  </si>
  <si>
    <t>net using lambs before death loss</t>
  </si>
  <si>
    <t>INCOME</t>
  </si>
  <si>
    <t>Wool- lambs</t>
  </si>
  <si>
    <t>lbs / head</t>
  </si>
  <si>
    <t xml:space="preserve">Net Return after changes in Key Feedlot Risk Variables </t>
  </si>
  <si>
    <t>TOTAL CASH  INCOME</t>
  </si>
  <si>
    <t>VARIABLE COSTS</t>
  </si>
  <si>
    <t>Lambs</t>
  </si>
  <si>
    <t>/ lb</t>
  </si>
  <si>
    <t>Delivery</t>
  </si>
  <si>
    <t>/ lamb</t>
  </si>
  <si>
    <t>Feed</t>
  </si>
  <si>
    <t>Feed Waste</t>
  </si>
  <si>
    <t>Hay (Arrival Feeding)</t>
  </si>
  <si>
    <t>Tonne</t>
  </si>
  <si>
    <t xml:space="preserve">Pasture </t>
  </si>
  <si>
    <t>$/lamb/d</t>
  </si>
  <si>
    <t>Total Feed Costs</t>
  </si>
  <si>
    <t>Other Variable Costs</t>
  </si>
  <si>
    <t>Health Program</t>
  </si>
  <si>
    <t xml:space="preserve"> / head</t>
  </si>
  <si>
    <t>Marketing</t>
  </si>
  <si>
    <t>Transportation</t>
  </si>
  <si>
    <t>OSMA Checkoff</t>
  </si>
  <si>
    <t>Shearing - lambs</t>
  </si>
  <si>
    <t>Building &amp; Fence Repair</t>
  </si>
  <si>
    <t>Machinery Repair &amp; Maint.</t>
  </si>
  <si>
    <t>Utilities</t>
  </si>
  <si>
    <t>Miscellaneous</t>
  </si>
  <si>
    <t>%</t>
  </si>
  <si>
    <t>Term of Loan (days)</t>
  </si>
  <si>
    <t>TOTAL VARIABLE COSTS</t>
  </si>
  <si>
    <t xml:space="preserve">RETURN TO EQUITY, MANAGEMENT &amp; OPERATOR LABOUR </t>
  </si>
  <si>
    <t>Returns</t>
  </si>
  <si>
    <t>per lamb</t>
  </si>
  <si>
    <t>Return per lamb over Variable Costs</t>
  </si>
  <si>
    <t>Lamb Price @</t>
  </si>
  <si>
    <t xml:space="preserve"> / lb</t>
  </si>
  <si>
    <t>Lamb Finishing Ration - as fed basis</t>
  </si>
  <si>
    <t>Enter Percentages as Decimal Equivalents</t>
  </si>
  <si>
    <t xml:space="preserve"> (EXAMPLE 10% = 0.10)</t>
  </si>
  <si>
    <t>Mixed Hay</t>
  </si>
  <si>
    <t>Alfalfa Hay</t>
  </si>
  <si>
    <t xml:space="preserve">Corn  </t>
  </si>
  <si>
    <t>Barley</t>
  </si>
  <si>
    <t>Protein Suppl. Pellet</t>
  </si>
  <si>
    <t>Soybean meal</t>
  </si>
  <si>
    <t>Salt</t>
  </si>
  <si>
    <t>Mineral</t>
  </si>
  <si>
    <t>Other</t>
  </si>
  <si>
    <t>CALCULATE HEALTH PROGRAM COSTS</t>
  </si>
  <si>
    <t>Lambs entering Feedlot</t>
  </si>
  <si>
    <t>Wormer</t>
  </si>
  <si>
    <t>DOSE @</t>
  </si>
  <si>
    <t>/DOSE</t>
  </si>
  <si>
    <t>Vaccine (primary 4ml)</t>
  </si>
  <si>
    <t>Vaccine (booster 2ml)</t>
  </si>
  <si>
    <t>Flock Health Program Costs</t>
  </si>
  <si>
    <t xml:space="preserve">    Expected Sale Price ( $/ lb)</t>
  </si>
  <si>
    <t xml:space="preserve">        Gain on Feed</t>
  </si>
  <si>
    <t xml:space="preserve">         Lamb Information</t>
  </si>
  <si>
    <r>
      <t xml:space="preserve">    GREEN</t>
    </r>
    <r>
      <rPr>
        <b/>
        <sz val="12"/>
        <rFont val="Arial"/>
        <family val="2"/>
      </rPr>
      <t xml:space="preserve"> cells are those you</t>
    </r>
    <r>
      <rPr>
        <b/>
        <sz val="12"/>
        <color indexed="17"/>
        <rFont val="Arial"/>
        <family val="2"/>
      </rPr>
      <t xml:space="preserve"> </t>
    </r>
    <r>
      <rPr>
        <b/>
        <sz val="12"/>
        <rFont val="Arial"/>
        <family val="2"/>
      </rPr>
      <t>can change</t>
    </r>
  </si>
  <si>
    <r>
      <t>Death Loss</t>
    </r>
    <r>
      <rPr>
        <vertAlign val="superscript"/>
        <sz val="12"/>
        <rFont val="Arial"/>
        <family val="2"/>
      </rPr>
      <t>1</t>
    </r>
  </si>
  <si>
    <r>
      <t>Avg. Wt. entering Feedlot</t>
    </r>
    <r>
      <rPr>
        <vertAlign val="superscript"/>
        <sz val="12"/>
        <rFont val="Arial"/>
        <family val="2"/>
      </rPr>
      <t>2</t>
    </r>
  </si>
  <si>
    <r>
      <t xml:space="preserve">Market Lambs </t>
    </r>
    <r>
      <rPr>
        <vertAlign val="superscript"/>
        <sz val="12"/>
        <rFont val="Arial"/>
        <family val="2"/>
      </rPr>
      <t>3</t>
    </r>
  </si>
  <si>
    <r>
      <t xml:space="preserve">National ID Tags </t>
    </r>
    <r>
      <rPr>
        <vertAlign val="superscript"/>
        <sz val="12"/>
        <rFont val="Arial"/>
        <family val="2"/>
      </rPr>
      <t>4</t>
    </r>
  </si>
  <si>
    <r>
      <t xml:space="preserve">Int. on Operating Expenses </t>
    </r>
    <r>
      <rPr>
        <vertAlign val="superscript"/>
        <sz val="12"/>
        <rFont val="Arial"/>
        <family val="2"/>
      </rPr>
      <t>5</t>
    </r>
    <r>
      <rPr>
        <sz val="12"/>
        <rFont val="Arial"/>
        <family val="2"/>
      </rPr>
      <t xml:space="preserve"> </t>
    </r>
  </si>
  <si>
    <r>
      <t xml:space="preserve">                             Cost per pound of gain</t>
    </r>
    <r>
      <rPr>
        <b/>
        <vertAlign val="superscript"/>
        <sz val="12"/>
        <rFont val="Arial"/>
        <family val="2"/>
      </rPr>
      <t>5</t>
    </r>
  </si>
  <si>
    <r>
      <t>1</t>
    </r>
    <r>
      <rPr>
        <sz val="12"/>
        <rFont val="Arial"/>
        <family val="2"/>
      </rPr>
      <t xml:space="preserve"> assumed death loss occurs near end of feeding period</t>
    </r>
  </si>
  <si>
    <r>
      <t>2</t>
    </r>
    <r>
      <rPr>
        <sz val="12"/>
        <rFont val="Arial"/>
        <family val="2"/>
      </rPr>
      <t xml:space="preserve"> If lambs are not pastured before entering feedlot, then enter same number that is in Start Weight box</t>
    </r>
  </si>
  <si>
    <r>
      <t xml:space="preserve">3 </t>
    </r>
    <r>
      <rPr>
        <sz val="12"/>
        <rFont val="Arial"/>
        <family val="2"/>
      </rPr>
      <t>Market weights adjusted for 6% shrink</t>
    </r>
  </si>
  <si>
    <r>
      <t>4</t>
    </r>
    <r>
      <rPr>
        <sz val="12"/>
        <rFont val="Arial"/>
        <family val="2"/>
      </rPr>
      <t xml:space="preserve"> Assumed tags applied when animals leave farm of origin</t>
    </r>
  </si>
  <si>
    <r>
      <t>5</t>
    </r>
    <r>
      <rPr>
        <sz val="12"/>
        <rFont val="Arial"/>
        <family val="2"/>
      </rPr>
      <t xml:space="preserve"> Includes 1/2 feed cost plus other variable cost less marketing(+ transportation &amp; checkoff) costs</t>
    </r>
  </si>
  <si>
    <r>
      <t>6</t>
    </r>
    <r>
      <rPr>
        <sz val="12"/>
        <rFont val="Arial"/>
        <family val="2"/>
      </rPr>
      <t xml:space="preserve"> Includes all variable costs less marketing(+ transportation &amp; checkoff) costs and purchase cost of lambs</t>
    </r>
  </si>
  <si>
    <t>ag.info.omafra@ontario.ca</t>
  </si>
  <si>
    <t>Ontario Ministry of Agriculture &amp; Food Website</t>
  </si>
  <si>
    <t>This is a cost of production budgeting tool that has 2 worksheets. There are fields that can be completed by the user. It is up to 21 columns wide and 252 rows.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</si>
</sst>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_);_(&quot;$&quot;* \(#,##0\);_(&quot;$&quot;* &quot;-&quot;_);_(@_)"/>
    <numFmt numFmtId="166" formatCode="_(&quot;$&quot;* #,##0.00_);_(&quot;$&quot;* \(#,##0.00\);_(&quot;$&quot;* &quot;-&quot;??_);_(@_)"/>
    <numFmt numFmtId="167" formatCode="_(* #,##0.00_);_(* \(#,##0.00\);_(* &quot;-&quot;??_);_(@_)"/>
    <numFmt numFmtId="168" formatCode="&quot;$&quot;#,##0.00"/>
    <numFmt numFmtId="169" formatCode="0.0"/>
    <numFmt numFmtId="170" formatCode="0.0%"/>
    <numFmt numFmtId="171" formatCode="0_)"/>
    <numFmt numFmtId="172" formatCode="0.0_)"/>
    <numFmt numFmtId="173" formatCode="&quot;$&quot;#,##0.00;[Red]&quot;$&quot;#,##0.00"/>
    <numFmt numFmtId="174" formatCode="_(* #,##0.00_);_(* \(#,##0.00\);_(* &quot;-&quot;?_);_(@_)"/>
    <numFmt numFmtId="175" formatCode="&quot;$&quot;#,##0.000;[Red]\-&quot;$&quot;#,##0.000"/>
    <numFmt numFmtId="176" formatCode="0.0000_)"/>
  </numFmts>
  <fonts count="53">
    <font>
      <sz val="10"/>
      <name val="Arial"/>
      <family val="0"/>
    </font>
    <font>
      <sz val="11"/>
      <color indexed="8"/>
      <name val="Calibri"/>
      <family val="2"/>
    </font>
    <font>
      <b/>
      <sz val="20"/>
      <name val="Arial"/>
      <family val="2"/>
    </font>
    <font>
      <b/>
      <sz val="10"/>
      <name val="Arial"/>
      <family val="2"/>
    </font>
    <font>
      <b/>
      <sz val="16"/>
      <name val="Arial"/>
      <family val="2"/>
    </font>
    <font>
      <b/>
      <sz val="12"/>
      <name val="Arial"/>
      <family val="2"/>
    </font>
    <font>
      <b/>
      <sz val="12"/>
      <color indexed="17"/>
      <name val="Arial"/>
      <family val="2"/>
    </font>
    <font>
      <u val="single"/>
      <sz val="10"/>
      <color indexed="12"/>
      <name val="Arial"/>
      <family val="2"/>
    </font>
    <font>
      <sz val="12"/>
      <name val="Arial"/>
      <family val="2"/>
    </font>
    <font>
      <u val="single"/>
      <sz val="12"/>
      <color indexed="12"/>
      <name val="Arial"/>
      <family val="2"/>
    </font>
    <font>
      <vertAlign val="superscript"/>
      <sz val="12"/>
      <name val="Arial"/>
      <family val="2"/>
    </font>
    <font>
      <i/>
      <sz val="12"/>
      <name val="Arial"/>
      <family val="2"/>
    </font>
    <font>
      <u val="single"/>
      <sz val="12"/>
      <name val="Arial"/>
      <family val="2"/>
    </font>
    <font>
      <b/>
      <vertAlign val="superscript"/>
      <sz val="12"/>
      <name val="Arial"/>
      <family val="2"/>
    </font>
    <font>
      <sz val="12"/>
      <color indexed="17"/>
      <name val="Arial"/>
      <family val="2"/>
    </font>
    <font>
      <sz val="12"/>
      <color indexed="12"/>
      <name val="Arial"/>
      <family val="2"/>
    </font>
    <font>
      <sz val="10"/>
      <name val="Courier"/>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17"/>
      </left>
      <right style="medium">
        <color indexed="17"/>
      </right>
      <top style="medium">
        <color indexed="17"/>
      </top>
      <bottom style="medium">
        <color indexed="17"/>
      </bottom>
    </border>
    <border>
      <left style="medium"/>
      <right style="medium"/>
      <top style="medium"/>
      <bottom style="medium"/>
    </border>
    <border>
      <left style="medium"/>
      <right/>
      <top style="medium"/>
      <bottom style="mediu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right/>
      <top style="medium"/>
      <bottom style="medium"/>
    </border>
    <border>
      <left/>
      <right style="medium"/>
      <top style="medium"/>
      <bottom style="medium"/>
    </border>
    <border>
      <left style="thin"/>
      <right style="thin"/>
      <top style="thin"/>
      <bottom/>
    </border>
    <border>
      <left style="thin"/>
      <right style="thin"/>
      <top/>
      <bottom/>
    </border>
    <border>
      <left style="thin"/>
      <right style="thin"/>
      <top/>
      <bottom style="thin"/>
    </border>
    <border>
      <left/>
      <right/>
      <top style="medium"/>
      <bottom/>
    </border>
    <border>
      <left style="thin"/>
      <right/>
      <top style="thin"/>
      <bottom/>
    </border>
    <border>
      <left/>
      <right style="thin"/>
      <top style="thin"/>
      <bottom/>
    </border>
    <border>
      <left style="thin"/>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16"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96">
    <xf numFmtId="0" fontId="0" fillId="0" borderId="0" xfId="0" applyAlignment="1">
      <alignment/>
    </xf>
    <xf numFmtId="0" fontId="3" fillId="33" borderId="0" xfId="0" applyFont="1" applyFill="1" applyAlignment="1">
      <alignment/>
    </xf>
    <xf numFmtId="0" fontId="2" fillId="33" borderId="0" xfId="56" applyFont="1" applyFill="1" applyAlignment="1">
      <alignment horizontal="center"/>
      <protection/>
    </xf>
    <xf numFmtId="0" fontId="4" fillId="34" borderId="0" xfId="56" applyFont="1" applyFill="1">
      <alignment/>
      <protection/>
    </xf>
    <xf numFmtId="0" fontId="0" fillId="34" borderId="0" xfId="56" applyFill="1">
      <alignment/>
      <protection/>
    </xf>
    <xf numFmtId="0" fontId="0" fillId="34" borderId="0" xfId="56" applyFont="1" applyFill="1">
      <alignment/>
      <protection/>
    </xf>
    <xf numFmtId="0" fontId="0" fillId="34" borderId="0" xfId="0" applyFill="1" applyAlignment="1">
      <alignment/>
    </xf>
    <xf numFmtId="0" fontId="0" fillId="0" borderId="0" xfId="0" applyFill="1" applyAlignment="1">
      <alignment/>
    </xf>
    <xf numFmtId="0" fontId="5" fillId="33" borderId="0" xfId="56" applyFont="1" applyFill="1" applyAlignment="1">
      <alignment horizontal="center"/>
      <protection/>
    </xf>
    <xf numFmtId="4" fontId="0" fillId="0" borderId="0" xfId="0" applyNumberFormat="1" applyAlignment="1">
      <alignment/>
    </xf>
    <xf numFmtId="166" fontId="5" fillId="0" borderId="10" xfId="56" applyNumberFormat="1" applyFont="1" applyBorder="1">
      <alignment/>
      <protection/>
    </xf>
    <xf numFmtId="9" fontId="6" fillId="0" borderId="11" xfId="56" applyNumberFormat="1" applyFont="1" applyFill="1" applyBorder="1" applyAlignment="1" applyProtection="1">
      <alignment horizontal="center"/>
      <protection locked="0"/>
    </xf>
    <xf numFmtId="8" fontId="3" fillId="0" borderId="0" xfId="44" applyNumberFormat="1" applyFont="1" applyFill="1" applyBorder="1" applyAlignment="1">
      <alignment/>
    </xf>
    <xf numFmtId="166" fontId="0" fillId="0" borderId="0" xfId="0" applyNumberFormat="1" applyAlignment="1">
      <alignment/>
    </xf>
    <xf numFmtId="170" fontId="5" fillId="0" borderId="10" xfId="56" applyNumberFormat="1" applyFont="1" applyBorder="1">
      <alignment/>
      <protection/>
    </xf>
    <xf numFmtId="166" fontId="5" fillId="33" borderId="12" xfId="56" applyNumberFormat="1" applyFont="1" applyFill="1" applyBorder="1" applyAlignment="1">
      <alignment horizontal="center"/>
      <protection/>
    </xf>
    <xf numFmtId="168" fontId="0" fillId="0" borderId="0" xfId="0" applyNumberFormat="1" applyAlignment="1">
      <alignment/>
    </xf>
    <xf numFmtId="165" fontId="5" fillId="33" borderId="0" xfId="56" applyNumberFormat="1" applyFont="1" applyFill="1" applyBorder="1" applyAlignment="1">
      <alignment horizontal="center"/>
      <protection/>
    </xf>
    <xf numFmtId="173" fontId="0" fillId="0" borderId="0" xfId="0" applyNumberFormat="1" applyAlignment="1">
      <alignment/>
    </xf>
    <xf numFmtId="166" fontId="5" fillId="33" borderId="13" xfId="56" applyNumberFormat="1" applyFont="1" applyFill="1" applyBorder="1" applyAlignment="1">
      <alignment horizontal="center"/>
      <protection/>
    </xf>
    <xf numFmtId="0" fontId="3" fillId="0" borderId="0" xfId="0" applyFont="1" applyAlignment="1">
      <alignment/>
    </xf>
    <xf numFmtId="0" fontId="2" fillId="34" borderId="0" xfId="0" applyFont="1" applyFill="1" applyAlignment="1">
      <alignment horizontal="center" wrapText="1"/>
    </xf>
    <xf numFmtId="0" fontId="0" fillId="0" borderId="0" xfId="0" applyFill="1" applyBorder="1" applyAlignment="1">
      <alignment horizontal="centerContinuous"/>
    </xf>
    <xf numFmtId="0" fontId="2" fillId="0" borderId="0" xfId="0" applyFont="1" applyFill="1" applyBorder="1" applyAlignment="1">
      <alignment wrapText="1"/>
    </xf>
    <xf numFmtId="0" fontId="0" fillId="0" borderId="0" xfId="0" applyFill="1" applyBorder="1" applyAlignment="1">
      <alignment/>
    </xf>
    <xf numFmtId="0" fontId="0" fillId="0" borderId="0" xfId="0" applyFill="1" applyBorder="1" applyAlignment="1">
      <alignment vertical="center" wrapText="1"/>
    </xf>
    <xf numFmtId="0" fontId="0" fillId="0" borderId="0" xfId="0" applyFill="1" applyBorder="1" applyAlignment="1">
      <alignment horizontal="center"/>
    </xf>
    <xf numFmtId="0" fontId="0" fillId="0" borderId="0" xfId="0" applyFill="1" applyBorder="1" applyAlignment="1">
      <alignment vertical="center"/>
    </xf>
    <xf numFmtId="0" fontId="2" fillId="34" borderId="0" xfId="56" applyFont="1" applyFill="1" applyAlignment="1">
      <alignment/>
      <protection/>
    </xf>
    <xf numFmtId="0" fontId="8" fillId="33" borderId="0" xfId="0" applyFont="1" applyFill="1" applyAlignment="1">
      <alignment/>
    </xf>
    <xf numFmtId="0" fontId="8" fillId="33" borderId="0" xfId="0" applyFont="1" applyFill="1" applyAlignment="1">
      <alignment vertical="center" wrapText="1"/>
    </xf>
    <xf numFmtId="0" fontId="8" fillId="33" borderId="0" xfId="0" applyFont="1" applyFill="1" applyAlignment="1">
      <alignment horizontal="center"/>
    </xf>
    <xf numFmtId="0" fontId="5" fillId="33" borderId="0" xfId="0" applyFont="1" applyFill="1" applyAlignment="1">
      <alignment vertical="top"/>
    </xf>
    <xf numFmtId="0" fontId="5" fillId="33" borderId="0" xfId="0" applyFont="1" applyFill="1" applyAlignment="1">
      <alignment/>
    </xf>
    <xf numFmtId="0" fontId="8" fillId="33" borderId="14" xfId="0" applyFont="1" applyFill="1" applyBorder="1" applyAlignment="1">
      <alignment horizontal="center"/>
    </xf>
    <xf numFmtId="0" fontId="8" fillId="33" borderId="0" xfId="0" applyFont="1" applyFill="1" applyBorder="1" applyAlignment="1" quotePrefix="1">
      <alignment horizontal="center"/>
    </xf>
    <xf numFmtId="0" fontId="52" fillId="33" borderId="0" xfId="52" applyFont="1" applyFill="1" applyBorder="1" applyAlignment="1">
      <alignment horizontal="center"/>
    </xf>
    <xf numFmtId="0" fontId="52" fillId="33" borderId="15" xfId="52" applyFont="1" applyFill="1" applyBorder="1" applyAlignment="1">
      <alignment horizontal="center"/>
    </xf>
    <xf numFmtId="0" fontId="8" fillId="33" borderId="0" xfId="56" applyFont="1" applyFill="1">
      <alignment/>
      <protection/>
    </xf>
    <xf numFmtId="0" fontId="6" fillId="33" borderId="16" xfId="0" applyFont="1" applyFill="1" applyBorder="1" applyAlignment="1">
      <alignment/>
    </xf>
    <xf numFmtId="0" fontId="6" fillId="33" borderId="17" xfId="0" applyFont="1" applyFill="1" applyBorder="1" applyAlignment="1">
      <alignment/>
    </xf>
    <xf numFmtId="0" fontId="6" fillId="33" borderId="18" xfId="0" applyFont="1" applyFill="1" applyBorder="1" applyAlignment="1">
      <alignment/>
    </xf>
    <xf numFmtId="0" fontId="5" fillId="33" borderId="0" xfId="0" applyFont="1" applyFill="1" applyAlignment="1">
      <alignment horizontal="right"/>
    </xf>
    <xf numFmtId="0" fontId="6" fillId="33" borderId="10" xfId="0" applyFont="1" applyFill="1" applyBorder="1" applyAlignment="1" applyProtection="1">
      <alignment horizontal="center"/>
      <protection locked="0"/>
    </xf>
    <xf numFmtId="0" fontId="5" fillId="34" borderId="0" xfId="0" applyFont="1" applyFill="1" applyAlignment="1">
      <alignment/>
    </xf>
    <xf numFmtId="15" fontId="5" fillId="33" borderId="0" xfId="0" applyNumberFormat="1" applyFont="1" applyFill="1" applyBorder="1" applyAlignment="1">
      <alignment horizontal="center"/>
    </xf>
    <xf numFmtId="0" fontId="8" fillId="33" borderId="0" xfId="0" applyFont="1" applyFill="1" applyAlignment="1">
      <alignment horizontal="right"/>
    </xf>
    <xf numFmtId="0" fontId="6" fillId="33" borderId="10" xfId="0" applyFont="1" applyFill="1" applyBorder="1" applyAlignment="1" applyProtection="1">
      <alignment/>
      <protection locked="0"/>
    </xf>
    <xf numFmtId="0" fontId="8" fillId="33" borderId="0" xfId="0" applyFont="1" applyFill="1" applyBorder="1" applyAlignment="1">
      <alignment horizontal="right"/>
    </xf>
    <xf numFmtId="0" fontId="6" fillId="33" borderId="0" xfId="0" applyFont="1" applyFill="1" applyBorder="1" applyAlignment="1">
      <alignment/>
    </xf>
    <xf numFmtId="1" fontId="6" fillId="33" borderId="10" xfId="60" applyNumberFormat="1" applyFont="1" applyFill="1" applyBorder="1" applyAlignment="1" applyProtection="1">
      <alignment/>
      <protection locked="0"/>
    </xf>
    <xf numFmtId="0" fontId="8" fillId="33" borderId="0" xfId="0" applyFont="1" applyFill="1" applyBorder="1" applyAlignment="1">
      <alignment horizontal="left"/>
    </xf>
    <xf numFmtId="1" fontId="5" fillId="33" borderId="0" xfId="60" applyNumberFormat="1" applyFont="1" applyFill="1" applyBorder="1" applyAlignment="1">
      <alignment/>
    </xf>
    <xf numFmtId="9" fontId="8" fillId="33" borderId="0" xfId="60" applyFont="1" applyFill="1" applyBorder="1" applyAlignment="1">
      <alignment/>
    </xf>
    <xf numFmtId="9" fontId="6" fillId="33" borderId="0" xfId="60" applyFont="1" applyFill="1" applyBorder="1" applyAlignment="1">
      <alignment/>
    </xf>
    <xf numFmtId="0" fontId="8" fillId="33" borderId="0" xfId="0" applyFont="1" applyFill="1" applyBorder="1" applyAlignment="1">
      <alignment/>
    </xf>
    <xf numFmtId="2" fontId="5" fillId="33" borderId="0" xfId="60" applyNumberFormat="1" applyFont="1" applyFill="1" applyBorder="1" applyAlignment="1">
      <alignment/>
    </xf>
    <xf numFmtId="0" fontId="8" fillId="33" borderId="0" xfId="0" applyFont="1" applyFill="1" applyBorder="1" applyAlignment="1">
      <alignment/>
    </xf>
    <xf numFmtId="1" fontId="6" fillId="33" borderId="10" xfId="0" applyNumberFormat="1" applyFont="1" applyFill="1" applyBorder="1" applyAlignment="1" applyProtection="1">
      <alignment/>
      <protection locked="0"/>
    </xf>
    <xf numFmtId="0" fontId="6" fillId="33" borderId="0" xfId="0" applyFont="1" applyFill="1" applyBorder="1" applyAlignment="1">
      <alignment horizontal="right"/>
    </xf>
    <xf numFmtId="0" fontId="8" fillId="33" borderId="0" xfId="0" applyFont="1" applyFill="1" applyBorder="1" applyAlignment="1">
      <alignment horizontal="center"/>
    </xf>
    <xf numFmtId="2" fontId="5" fillId="33" borderId="0" xfId="0" applyNumberFormat="1" applyFont="1" applyFill="1" applyBorder="1" applyAlignment="1">
      <alignment/>
    </xf>
    <xf numFmtId="170" fontId="6" fillId="33" borderId="10" xfId="60" applyNumberFormat="1" applyFont="1" applyFill="1" applyBorder="1" applyAlignment="1" applyProtection="1">
      <alignment/>
      <protection locked="0"/>
    </xf>
    <xf numFmtId="9" fontId="6" fillId="33" borderId="10" xfId="60" applyFont="1" applyFill="1" applyBorder="1" applyAlignment="1" applyProtection="1">
      <alignment/>
      <protection locked="0"/>
    </xf>
    <xf numFmtId="0" fontId="5" fillId="33" borderId="0" xfId="56" applyFont="1" applyFill="1">
      <alignment/>
      <protection/>
    </xf>
    <xf numFmtId="0" fontId="5" fillId="33" borderId="0" xfId="56" applyFont="1" applyFill="1" applyAlignment="1">
      <alignment horizontal="right"/>
      <protection/>
    </xf>
    <xf numFmtId="9" fontId="6" fillId="33" borderId="0" xfId="60" applyFont="1" applyFill="1" applyBorder="1" applyAlignment="1" applyProtection="1">
      <alignment/>
      <protection locked="0"/>
    </xf>
    <xf numFmtId="0" fontId="8" fillId="33" borderId="0" xfId="56" applyFont="1" applyFill="1" applyAlignment="1">
      <alignment horizontal="right"/>
      <protection/>
    </xf>
    <xf numFmtId="44" fontId="6" fillId="33" borderId="10" xfId="44" applyFont="1" applyFill="1" applyBorder="1" applyAlignment="1" applyProtection="1">
      <alignment/>
      <protection locked="0"/>
    </xf>
    <xf numFmtId="0" fontId="8" fillId="33" borderId="19" xfId="0" applyFont="1" applyFill="1" applyBorder="1" applyAlignment="1">
      <alignment/>
    </xf>
    <xf numFmtId="0" fontId="8" fillId="33" borderId="0" xfId="0" applyFont="1" applyFill="1" applyAlignment="1">
      <alignment/>
    </xf>
    <xf numFmtId="0" fontId="8" fillId="33" borderId="20" xfId="0" applyFont="1" applyFill="1" applyBorder="1" applyAlignment="1">
      <alignment/>
    </xf>
    <xf numFmtId="169" fontId="6" fillId="33" borderId="10" xfId="60" applyNumberFormat="1" applyFont="1" applyFill="1" applyBorder="1" applyAlignment="1" applyProtection="1">
      <alignment/>
      <protection locked="0"/>
    </xf>
    <xf numFmtId="2" fontId="5" fillId="33" borderId="0" xfId="0" applyNumberFormat="1" applyFont="1" applyFill="1" applyAlignment="1">
      <alignment/>
    </xf>
    <xf numFmtId="0" fontId="5" fillId="33" borderId="0" xfId="56" applyFont="1" applyFill="1" applyAlignment="1">
      <alignment horizontal="center" wrapText="1"/>
      <protection/>
    </xf>
    <xf numFmtId="0" fontId="8" fillId="33" borderId="16" xfId="0" applyFont="1" applyFill="1" applyBorder="1" applyAlignment="1">
      <alignment horizontal="left"/>
    </xf>
    <xf numFmtId="0" fontId="5" fillId="33" borderId="17" xfId="0" applyFont="1" applyFill="1" applyBorder="1" applyAlignment="1">
      <alignment/>
    </xf>
    <xf numFmtId="0" fontId="8" fillId="33" borderId="17" xfId="0" applyFont="1" applyFill="1" applyBorder="1" applyAlignment="1">
      <alignment/>
    </xf>
    <xf numFmtId="0" fontId="8" fillId="33" borderId="17" xfId="0" applyFont="1" applyFill="1" applyBorder="1" applyAlignment="1">
      <alignment horizontal="center" wrapText="1"/>
    </xf>
    <xf numFmtId="0" fontId="8" fillId="33" borderId="10" xfId="0" applyFont="1" applyFill="1" applyBorder="1" applyAlignment="1">
      <alignment/>
    </xf>
    <xf numFmtId="0" fontId="8" fillId="33" borderId="18" xfId="0" applyFont="1" applyFill="1" applyBorder="1" applyAlignment="1">
      <alignment horizontal="right"/>
    </xf>
    <xf numFmtId="0" fontId="8" fillId="33" borderId="13" xfId="56" applyFont="1" applyFill="1" applyBorder="1" applyAlignment="1">
      <alignment horizontal="left"/>
      <protection/>
    </xf>
    <xf numFmtId="0" fontId="8" fillId="33" borderId="21" xfId="56" applyFont="1" applyFill="1" applyBorder="1">
      <alignment/>
      <protection/>
    </xf>
    <xf numFmtId="0" fontId="8" fillId="33" borderId="22" xfId="56" applyFont="1" applyFill="1" applyBorder="1">
      <alignment/>
      <protection/>
    </xf>
    <xf numFmtId="0" fontId="5" fillId="33" borderId="0" xfId="0" applyFont="1" applyFill="1" applyAlignment="1">
      <alignment horizontal="left"/>
    </xf>
    <xf numFmtId="0" fontId="8" fillId="33" borderId="23" xfId="0" applyFont="1" applyFill="1" applyBorder="1" applyAlignment="1">
      <alignment/>
    </xf>
    <xf numFmtId="0" fontId="8" fillId="33" borderId="0" xfId="56" applyFont="1" applyFill="1" applyBorder="1" applyAlignment="1">
      <alignment horizontal="left"/>
      <protection/>
    </xf>
    <xf numFmtId="0" fontId="8" fillId="33" borderId="0" xfId="56" applyFont="1" applyFill="1" applyBorder="1">
      <alignment/>
      <protection/>
    </xf>
    <xf numFmtId="1" fontId="5" fillId="33" borderId="0" xfId="0" applyNumberFormat="1" applyFont="1" applyFill="1" applyAlignment="1">
      <alignment/>
    </xf>
    <xf numFmtId="1" fontId="5" fillId="33" borderId="24" xfId="0" applyNumberFormat="1" applyFont="1" applyFill="1" applyBorder="1" applyAlignment="1">
      <alignment/>
    </xf>
    <xf numFmtId="0" fontId="8" fillId="33" borderId="24" xfId="0" applyFont="1" applyFill="1" applyBorder="1" applyAlignment="1">
      <alignment/>
    </xf>
    <xf numFmtId="44" fontId="5" fillId="33" borderId="18" xfId="0" applyNumberFormat="1" applyFont="1" applyFill="1" applyBorder="1" applyAlignment="1">
      <alignment/>
    </xf>
    <xf numFmtId="44" fontId="8" fillId="33" borderId="0" xfId="44" applyFont="1" applyFill="1" applyAlignment="1">
      <alignment/>
    </xf>
    <xf numFmtId="0" fontId="8" fillId="33" borderId="0" xfId="56" applyFont="1" applyFill="1" applyAlignment="1">
      <alignment horizontal="center"/>
      <protection/>
    </xf>
    <xf numFmtId="169" fontId="6" fillId="33" borderId="16" xfId="0" applyNumberFormat="1" applyFont="1" applyFill="1" applyBorder="1" applyAlignment="1" applyProtection="1">
      <alignment/>
      <protection locked="0"/>
    </xf>
    <xf numFmtId="0" fontId="8" fillId="33" borderId="25" xfId="0" applyFont="1" applyFill="1" applyBorder="1" applyAlignment="1">
      <alignment horizontal="left"/>
    </xf>
    <xf numFmtId="0" fontId="8" fillId="33" borderId="25" xfId="0" applyFont="1" applyFill="1" applyBorder="1" applyAlignment="1">
      <alignment/>
    </xf>
    <xf numFmtId="164" fontId="6" fillId="33" borderId="18" xfId="0" applyNumberFormat="1" applyFont="1" applyFill="1" applyBorder="1" applyAlignment="1" applyProtection="1">
      <alignment/>
      <protection locked="0"/>
    </xf>
    <xf numFmtId="44" fontId="8" fillId="33" borderId="0" xfId="0" applyNumberFormat="1" applyFont="1" applyFill="1" applyAlignment="1">
      <alignment/>
    </xf>
    <xf numFmtId="0" fontId="8" fillId="33" borderId="13" xfId="56" applyFont="1" applyFill="1" applyBorder="1">
      <alignment/>
      <protection/>
    </xf>
    <xf numFmtId="0" fontId="8" fillId="33" borderId="26" xfId="56" applyFont="1" applyFill="1" applyBorder="1">
      <alignment/>
      <protection/>
    </xf>
    <xf numFmtId="0" fontId="5" fillId="33" borderId="0" xfId="0" applyFont="1" applyFill="1" applyBorder="1" applyAlignment="1">
      <alignment horizontal="center"/>
    </xf>
    <xf numFmtId="0" fontId="5" fillId="33" borderId="13" xfId="0" applyFont="1" applyFill="1" applyBorder="1" applyAlignment="1">
      <alignment/>
    </xf>
    <xf numFmtId="0" fontId="5" fillId="33" borderId="21" xfId="0" applyFont="1" applyFill="1" applyBorder="1" applyAlignment="1">
      <alignment/>
    </xf>
    <xf numFmtId="0" fontId="5" fillId="33" borderId="21" xfId="0" applyFont="1" applyFill="1" applyBorder="1" applyAlignment="1">
      <alignment horizontal="left"/>
    </xf>
    <xf numFmtId="7" fontId="5" fillId="33" borderId="22" xfId="0" applyNumberFormat="1" applyFont="1" applyFill="1" applyBorder="1" applyAlignment="1">
      <alignment/>
    </xf>
    <xf numFmtId="0" fontId="5" fillId="33" borderId="0" xfId="0" applyFont="1" applyFill="1" applyBorder="1" applyAlignment="1">
      <alignment/>
    </xf>
    <xf numFmtId="44" fontId="5" fillId="33" borderId="0" xfId="0" applyNumberFormat="1" applyFont="1" applyFill="1" applyBorder="1" applyAlignment="1">
      <alignment horizontal="center"/>
    </xf>
    <xf numFmtId="167" fontId="8" fillId="33" borderId="0" xfId="0" applyNumberFormat="1" applyFont="1" applyFill="1" applyAlignment="1">
      <alignment/>
    </xf>
    <xf numFmtId="44" fontId="5" fillId="33" borderId="0" xfId="44" applyFont="1" applyFill="1" applyBorder="1" applyAlignment="1">
      <alignment horizontal="center"/>
    </xf>
    <xf numFmtId="0" fontId="8" fillId="0" borderId="0" xfId="0" applyFont="1" applyAlignment="1">
      <alignment/>
    </xf>
    <xf numFmtId="0" fontId="8" fillId="33" borderId="0" xfId="0" applyFont="1" applyFill="1" applyAlignment="1">
      <alignment horizontal="center" wrapText="1"/>
    </xf>
    <xf numFmtId="0" fontId="8" fillId="33" borderId="0" xfId="0" applyFont="1" applyFill="1" applyAlignment="1">
      <alignment horizontal="left"/>
    </xf>
    <xf numFmtId="6" fontId="6" fillId="33" borderId="10" xfId="44" applyNumberFormat="1" applyFont="1" applyFill="1" applyBorder="1" applyAlignment="1" applyProtection="1">
      <alignment/>
      <protection locked="0"/>
    </xf>
    <xf numFmtId="174" fontId="8" fillId="33" borderId="0" xfId="0" applyNumberFormat="1" applyFont="1" applyFill="1" applyAlignment="1">
      <alignment/>
    </xf>
    <xf numFmtId="166" fontId="8" fillId="33" borderId="0" xfId="0" applyNumberFormat="1" applyFont="1" applyFill="1" applyAlignment="1">
      <alignment/>
    </xf>
    <xf numFmtId="10" fontId="6" fillId="33" borderId="10" xfId="60" applyNumberFormat="1" applyFont="1" applyFill="1" applyBorder="1" applyAlignment="1" applyProtection="1">
      <alignment/>
      <protection locked="0"/>
    </xf>
    <xf numFmtId="10" fontId="6" fillId="33" borderId="25" xfId="60" applyNumberFormat="1" applyFont="1" applyFill="1" applyBorder="1" applyAlignment="1" applyProtection="1">
      <alignment/>
      <protection locked="0"/>
    </xf>
    <xf numFmtId="0" fontId="11" fillId="33" borderId="0" xfId="0" applyFont="1" applyFill="1" applyAlignment="1">
      <alignment/>
    </xf>
    <xf numFmtId="0" fontId="8" fillId="33" borderId="0" xfId="0" applyFont="1" applyFill="1" applyAlignment="1" applyProtection="1">
      <alignment horizontal="left"/>
      <protection/>
    </xf>
    <xf numFmtId="9" fontId="5" fillId="33" borderId="0" xfId="60" applyFont="1" applyFill="1" applyAlignment="1">
      <alignment/>
    </xf>
    <xf numFmtId="170" fontId="6" fillId="33" borderId="0" xfId="60" applyNumberFormat="1" applyFont="1" applyFill="1" applyBorder="1" applyAlignment="1">
      <alignment/>
    </xf>
    <xf numFmtId="0" fontId="8" fillId="33" borderId="0" xfId="0" applyFont="1" applyFill="1" applyAlignment="1" quotePrefix="1">
      <alignment/>
    </xf>
    <xf numFmtId="175" fontId="6" fillId="33" borderId="10" xfId="44" applyNumberFormat="1" applyFont="1" applyFill="1" applyBorder="1" applyAlignment="1" applyProtection="1">
      <alignment/>
      <protection locked="0"/>
    </xf>
    <xf numFmtId="175" fontId="6" fillId="33" borderId="0" xfId="44" applyNumberFormat="1" applyFont="1" applyFill="1" applyBorder="1" applyAlignment="1">
      <alignment/>
    </xf>
    <xf numFmtId="0" fontId="5" fillId="33" borderId="13" xfId="0" applyFont="1" applyFill="1" applyBorder="1" applyAlignment="1" applyProtection="1">
      <alignment/>
      <protection locked="0"/>
    </xf>
    <xf numFmtId="0" fontId="5" fillId="33" borderId="21" xfId="0" applyFont="1" applyFill="1" applyBorder="1" applyAlignment="1" applyProtection="1">
      <alignment/>
      <protection locked="0"/>
    </xf>
    <xf numFmtId="0" fontId="8" fillId="33" borderId="21" xfId="0" applyFont="1" applyFill="1" applyBorder="1" applyAlignment="1">
      <alignment/>
    </xf>
    <xf numFmtId="166" fontId="5" fillId="33" borderId="22" xfId="0" applyNumberFormat="1" applyFont="1" applyFill="1" applyBorder="1" applyAlignment="1">
      <alignment/>
    </xf>
    <xf numFmtId="0" fontId="12" fillId="33" borderId="0" xfId="0" applyFont="1" applyFill="1" applyAlignment="1">
      <alignment/>
    </xf>
    <xf numFmtId="0" fontId="8" fillId="33" borderId="0" xfId="0" applyFont="1" applyFill="1" applyAlignment="1" applyProtection="1">
      <alignment/>
      <protection locked="0"/>
    </xf>
    <xf numFmtId="7" fontId="5" fillId="33" borderId="0" xfId="0" applyNumberFormat="1" applyFont="1" applyFill="1" applyAlignment="1">
      <alignment/>
    </xf>
    <xf numFmtId="8" fontId="6" fillId="33" borderId="23" xfId="44" applyNumberFormat="1" applyFont="1" applyFill="1" applyBorder="1" applyAlignment="1" applyProtection="1">
      <alignment/>
      <protection locked="0"/>
    </xf>
    <xf numFmtId="8" fontId="6" fillId="33" borderId="10" xfId="44" applyNumberFormat="1" applyFont="1" applyFill="1" applyBorder="1" applyAlignment="1" applyProtection="1">
      <alignment/>
      <protection locked="0"/>
    </xf>
    <xf numFmtId="8" fontId="6" fillId="33" borderId="24" xfId="0" applyNumberFormat="1" applyFont="1" applyFill="1" applyBorder="1" applyAlignment="1" applyProtection="1">
      <alignment/>
      <protection locked="0"/>
    </xf>
    <xf numFmtId="8" fontId="6" fillId="33" borderId="10" xfId="0" applyNumberFormat="1" applyFont="1" applyFill="1" applyBorder="1" applyAlignment="1" applyProtection="1">
      <alignment/>
      <protection locked="0"/>
    </xf>
    <xf numFmtId="167" fontId="6" fillId="33" borderId="25" xfId="0" applyNumberFormat="1" applyFont="1" applyFill="1" applyBorder="1" applyAlignment="1" applyProtection="1">
      <alignment/>
      <protection locked="0"/>
    </xf>
    <xf numFmtId="0" fontId="5" fillId="33" borderId="0" xfId="0" applyFont="1" applyFill="1" applyAlignment="1" applyProtection="1">
      <alignment/>
      <protection locked="0"/>
    </xf>
    <xf numFmtId="173" fontId="5" fillId="33" borderId="22" xfId="44" applyNumberFormat="1" applyFont="1" applyFill="1" applyBorder="1" applyAlignment="1">
      <alignment/>
    </xf>
    <xf numFmtId="0" fontId="5" fillId="33" borderId="0" xfId="0" applyFont="1" applyFill="1" applyBorder="1" applyAlignment="1" applyProtection="1">
      <alignment horizontal="center"/>
      <protection locked="0"/>
    </xf>
    <xf numFmtId="0" fontId="5" fillId="33" borderId="26" xfId="0" applyFont="1" applyFill="1" applyBorder="1" applyAlignment="1" applyProtection="1">
      <alignment/>
      <protection locked="0"/>
    </xf>
    <xf numFmtId="164" fontId="5" fillId="33" borderId="26" xfId="0" applyNumberFormat="1" applyFont="1" applyFill="1" applyBorder="1" applyAlignment="1" applyProtection="1">
      <alignment horizontal="right"/>
      <protection locked="0"/>
    </xf>
    <xf numFmtId="8" fontId="5" fillId="33" borderId="0" xfId="44" applyNumberFormat="1" applyFont="1" applyFill="1" applyBorder="1" applyAlignment="1">
      <alignment/>
    </xf>
    <xf numFmtId="40" fontId="5" fillId="33" borderId="0" xfId="0" applyNumberFormat="1" applyFont="1" applyFill="1" applyBorder="1" applyAlignment="1">
      <alignment/>
    </xf>
    <xf numFmtId="0" fontId="5" fillId="33" borderId="0" xfId="0" applyFont="1" applyFill="1" applyBorder="1" applyAlignment="1" applyProtection="1">
      <alignment/>
      <protection locked="0"/>
    </xf>
    <xf numFmtId="0" fontId="5" fillId="33" borderId="20" xfId="0" applyFont="1" applyFill="1" applyBorder="1" applyAlignment="1" applyProtection="1">
      <alignment/>
      <protection locked="0"/>
    </xf>
    <xf numFmtId="8" fontId="6" fillId="33" borderId="10" xfId="44" applyNumberFormat="1" applyFont="1" applyFill="1" applyBorder="1" applyAlignment="1" applyProtection="1">
      <alignment horizontal="right"/>
      <protection locked="0"/>
    </xf>
    <xf numFmtId="0" fontId="5" fillId="33" borderId="0" xfId="0" applyFont="1" applyFill="1" applyBorder="1" applyAlignment="1" applyProtection="1">
      <alignment horizontal="left"/>
      <protection locked="0"/>
    </xf>
    <xf numFmtId="8" fontId="6" fillId="33" borderId="25" xfId="44" applyNumberFormat="1" applyFont="1" applyFill="1" applyBorder="1" applyAlignment="1" applyProtection="1">
      <alignment horizontal="right"/>
      <protection locked="0"/>
    </xf>
    <xf numFmtId="164" fontId="8" fillId="33" borderId="0" xfId="0" applyNumberFormat="1" applyFont="1" applyFill="1" applyAlignment="1">
      <alignment/>
    </xf>
    <xf numFmtId="44" fontId="5" fillId="33" borderId="0" xfId="44" applyFont="1" applyFill="1" applyAlignment="1">
      <alignment/>
    </xf>
    <xf numFmtId="0" fontId="5" fillId="33" borderId="0" xfId="0" applyFont="1" applyFill="1" applyBorder="1" applyAlignment="1" applyProtection="1">
      <alignment horizontal="right"/>
      <protection locked="0"/>
    </xf>
    <xf numFmtId="0" fontId="10" fillId="33" borderId="0" xfId="0" applyFont="1" applyFill="1" applyAlignment="1">
      <alignment/>
    </xf>
    <xf numFmtId="0" fontId="10" fillId="33" borderId="0" xfId="0" applyFont="1" applyFill="1" applyAlignment="1">
      <alignment horizontal="left"/>
    </xf>
    <xf numFmtId="0" fontId="5" fillId="35" borderId="27" xfId="0" applyFont="1" applyFill="1" applyBorder="1" applyAlignment="1" applyProtection="1">
      <alignment/>
      <protection/>
    </xf>
    <xf numFmtId="0" fontId="5" fillId="35" borderId="14" xfId="0" applyFont="1" applyFill="1" applyBorder="1" applyAlignment="1" applyProtection="1">
      <alignment/>
      <protection/>
    </xf>
    <xf numFmtId="0" fontId="8" fillId="35" borderId="28" xfId="0" applyFont="1" applyFill="1" applyBorder="1" applyAlignment="1">
      <alignment/>
    </xf>
    <xf numFmtId="0" fontId="8" fillId="35" borderId="19" xfId="0" applyFont="1" applyFill="1" applyBorder="1" applyAlignment="1" applyProtection="1">
      <alignment/>
      <protection/>
    </xf>
    <xf numFmtId="0" fontId="8" fillId="35" borderId="0" xfId="0" applyFont="1" applyFill="1" applyBorder="1" applyAlignment="1" applyProtection="1">
      <alignment/>
      <protection/>
    </xf>
    <xf numFmtId="0" fontId="8" fillId="35" borderId="20" xfId="0" applyFont="1" applyFill="1" applyBorder="1" applyAlignment="1" applyProtection="1">
      <alignment/>
      <protection/>
    </xf>
    <xf numFmtId="0" fontId="8" fillId="35" borderId="0" xfId="0" applyFont="1" applyFill="1" applyBorder="1" applyAlignment="1" applyProtection="1">
      <alignment horizontal="center"/>
      <protection/>
    </xf>
    <xf numFmtId="0" fontId="8" fillId="35" borderId="20" xfId="0" applyFont="1" applyFill="1" applyBorder="1" applyAlignment="1">
      <alignment/>
    </xf>
    <xf numFmtId="176" fontId="6" fillId="35" borderId="19" xfId="0" applyNumberFormat="1" applyFont="1" applyFill="1" applyBorder="1" applyAlignment="1" applyProtection="1">
      <alignment/>
      <protection locked="0"/>
    </xf>
    <xf numFmtId="0" fontId="14" fillId="35" borderId="0" xfId="0" applyFont="1" applyFill="1" applyBorder="1" applyAlignment="1" applyProtection="1">
      <alignment horizontal="left"/>
      <protection locked="0"/>
    </xf>
    <xf numFmtId="0" fontId="8" fillId="35" borderId="0" xfId="0" applyFont="1" applyFill="1" applyBorder="1" applyAlignment="1">
      <alignment/>
    </xf>
    <xf numFmtId="176" fontId="6" fillId="35" borderId="29" xfId="0" applyNumberFormat="1" applyFont="1" applyFill="1" applyBorder="1" applyAlignment="1" applyProtection="1">
      <alignment horizontal="fill"/>
      <protection locked="0"/>
    </xf>
    <xf numFmtId="0" fontId="14" fillId="35" borderId="15" xfId="0" applyFont="1" applyFill="1" applyBorder="1" applyAlignment="1" applyProtection="1">
      <alignment/>
      <protection locked="0"/>
    </xf>
    <xf numFmtId="176" fontId="8" fillId="35" borderId="29" xfId="0" applyNumberFormat="1" applyFont="1" applyFill="1" applyBorder="1" applyAlignment="1" applyProtection="1">
      <alignment/>
      <protection/>
    </xf>
    <xf numFmtId="0" fontId="8" fillId="35" borderId="15" xfId="0" applyFont="1" applyFill="1" applyBorder="1" applyAlignment="1">
      <alignment/>
    </xf>
    <xf numFmtId="0" fontId="8" fillId="35" borderId="30" xfId="0" applyFont="1" applyFill="1" applyBorder="1" applyAlignment="1">
      <alignment/>
    </xf>
    <xf numFmtId="0" fontId="5" fillId="33" borderId="27" xfId="0" applyFont="1" applyFill="1" applyBorder="1" applyAlignment="1">
      <alignment/>
    </xf>
    <xf numFmtId="0" fontId="8" fillId="33" borderId="14" xfId="0" applyFont="1" applyFill="1" applyBorder="1" applyAlignment="1">
      <alignment/>
    </xf>
    <xf numFmtId="0" fontId="5" fillId="33" borderId="14" xfId="0" applyFont="1" applyFill="1" applyBorder="1" applyAlignment="1">
      <alignment/>
    </xf>
    <xf numFmtId="1" fontId="5" fillId="33" borderId="14" xfId="0" applyNumberFormat="1" applyFont="1" applyFill="1" applyBorder="1" applyAlignment="1">
      <alignment/>
    </xf>
    <xf numFmtId="0" fontId="8" fillId="33" borderId="28" xfId="0" applyFont="1" applyFill="1" applyBorder="1" applyAlignment="1">
      <alignment/>
    </xf>
    <xf numFmtId="0" fontId="8" fillId="33" borderId="19" xfId="0" applyFont="1" applyFill="1" applyBorder="1" applyAlignment="1">
      <alignment/>
    </xf>
    <xf numFmtId="0" fontId="5" fillId="33" borderId="0" xfId="0" applyFont="1" applyFill="1" applyBorder="1" applyAlignment="1">
      <alignment/>
    </xf>
    <xf numFmtId="1" fontId="5" fillId="33" borderId="0" xfId="0" applyNumberFormat="1" applyFont="1" applyFill="1" applyBorder="1" applyAlignment="1">
      <alignment/>
    </xf>
    <xf numFmtId="0" fontId="8" fillId="33" borderId="20" xfId="0" applyFont="1" applyFill="1" applyBorder="1" applyAlignment="1">
      <alignment/>
    </xf>
    <xf numFmtId="171" fontId="8" fillId="33" borderId="19" xfId="0" applyNumberFormat="1" applyFont="1" applyFill="1" applyBorder="1" applyAlignment="1" applyProtection="1">
      <alignment/>
      <protection/>
    </xf>
    <xf numFmtId="0" fontId="8" fillId="33" borderId="0" xfId="0" applyFont="1" applyFill="1" applyBorder="1" applyAlignment="1" applyProtection="1">
      <alignment horizontal="left"/>
      <protection/>
    </xf>
    <xf numFmtId="172" fontId="8" fillId="33" borderId="0" xfId="0" applyNumberFormat="1" applyFont="1" applyFill="1" applyBorder="1" applyAlignment="1" applyProtection="1">
      <alignment/>
      <protection/>
    </xf>
    <xf numFmtId="0" fontId="15" fillId="33" borderId="19" xfId="0" applyFont="1" applyFill="1" applyBorder="1" applyAlignment="1" applyProtection="1">
      <alignment/>
      <protection locked="0"/>
    </xf>
    <xf numFmtId="0" fontId="15" fillId="33" borderId="0" xfId="0" applyFont="1" applyFill="1" applyBorder="1" applyAlignment="1" applyProtection="1">
      <alignment/>
      <protection locked="0"/>
    </xf>
    <xf numFmtId="172" fontId="15" fillId="33" borderId="0" xfId="0" applyNumberFormat="1" applyFont="1" applyFill="1" applyBorder="1" applyAlignment="1" applyProtection="1">
      <alignment/>
      <protection locked="0"/>
    </xf>
    <xf numFmtId="44" fontId="15" fillId="33" borderId="0" xfId="44" applyFont="1" applyFill="1" applyBorder="1" applyAlignment="1" applyProtection="1">
      <alignment/>
      <protection locked="0"/>
    </xf>
    <xf numFmtId="44" fontId="8" fillId="33" borderId="20" xfId="44" applyFont="1" applyFill="1" applyBorder="1" applyAlignment="1" applyProtection="1">
      <alignment/>
      <protection/>
    </xf>
    <xf numFmtId="0" fontId="15" fillId="33" borderId="19" xfId="0" applyFont="1" applyFill="1" applyBorder="1" applyAlignment="1" applyProtection="1">
      <alignment horizontal="left"/>
      <protection locked="0"/>
    </xf>
    <xf numFmtId="0" fontId="15" fillId="33" borderId="0" xfId="0" applyFont="1" applyFill="1" applyBorder="1" applyAlignment="1" applyProtection="1">
      <alignment horizontal="left"/>
      <protection locked="0"/>
    </xf>
    <xf numFmtId="44" fontId="5" fillId="33" borderId="20" xfId="0" applyNumberFormat="1" applyFont="1" applyFill="1" applyBorder="1" applyAlignment="1">
      <alignment/>
    </xf>
    <xf numFmtId="0" fontId="8" fillId="33" borderId="29" xfId="0" applyFont="1" applyFill="1" applyBorder="1" applyAlignment="1">
      <alignment/>
    </xf>
    <xf numFmtId="0" fontId="8" fillId="33" borderId="15" xfId="0" applyFont="1" applyFill="1" applyBorder="1" applyAlignment="1">
      <alignment/>
    </xf>
    <xf numFmtId="0" fontId="5" fillId="33" borderId="15" xfId="0" applyFont="1" applyFill="1" applyBorder="1" applyAlignment="1" applyProtection="1">
      <alignment horizontal="left"/>
      <protection/>
    </xf>
    <xf numFmtId="44" fontId="5" fillId="33" borderId="15" xfId="44" applyFont="1" applyFill="1" applyBorder="1" applyAlignment="1" applyProtection="1">
      <alignment/>
      <protection/>
    </xf>
    <xf numFmtId="44" fontId="5" fillId="33" borderId="30" xfId="44" applyFont="1" applyFill="1" applyBorder="1" applyAlignment="1" applyProtection="1">
      <alignment/>
      <protection/>
    </xf>
    <xf numFmtId="0" fontId="5" fillId="0" borderId="0" xfId="57" applyFont="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Calfpro" xfId="56"/>
    <cellStyle name="Normal_Raspc2" xfId="57"/>
    <cellStyle name="Note" xfId="58"/>
    <cellStyle name="Output" xfId="59"/>
    <cellStyle name="Percent" xfId="60"/>
    <cellStyle name="Title" xfId="61"/>
    <cellStyle name="Total" xfId="62"/>
    <cellStyle name="Warning Text" xfId="63"/>
  </cellStyles>
  <dxfs count="3">
    <dxf>
      <font>
        <b/>
        <i val="0"/>
        <color indexed="10"/>
      </font>
    </dxf>
    <dxf>
      <font>
        <b/>
        <i val="0"/>
        <color indexed="10"/>
      </font>
      <fill>
        <patternFill patternType="none">
          <bgColor indexed="65"/>
        </patternFill>
      </fill>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Lamb Finishing COP'!d73:d85" /><Relationship Id="rId2" Type="http://schemas.openxmlformats.org/officeDocument/2006/relationships/hyperlink" Target="#'Lamb Finishing COP'!A26" /><Relationship Id="rId3" Type="http://schemas.openxmlformats.org/officeDocument/2006/relationships/hyperlink" Target="#'Lamb Finishing COP'!A89:i98" /><Relationship Id="rId4" Type="http://schemas.openxmlformats.org/officeDocument/2006/relationships/hyperlink" Target="#'Lamb Finishing COP'!A41" /><Relationship Id="rId5" Type="http://schemas.openxmlformats.org/officeDocument/2006/relationships/hyperlink" Target="#'Lamb Finishing COP'!A26"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1181100</xdr:colOff>
      <xdr:row>0</xdr:row>
      <xdr:rowOff>371475</xdr:rowOff>
    </xdr:to>
    <xdr:pic>
      <xdr:nvPicPr>
        <xdr:cNvPr id="1" name="Picture 42" descr="NEW Ont Trillium logo blk2007"/>
        <xdr:cNvPicPr preferRelativeResize="1">
          <a:picLocks noChangeAspect="1"/>
        </xdr:cNvPicPr>
      </xdr:nvPicPr>
      <xdr:blipFill>
        <a:blip r:embed="rId1"/>
        <a:srcRect l="2563" t="16453" b="19195"/>
        <a:stretch>
          <a:fillRect/>
        </a:stretch>
      </xdr:blipFill>
      <xdr:spPr>
        <a:xfrm>
          <a:off x="0" y="0"/>
          <a:ext cx="118110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27</xdr:row>
      <xdr:rowOff>28575</xdr:rowOff>
    </xdr:from>
    <xdr:to>
      <xdr:col>3</xdr:col>
      <xdr:colOff>390525</xdr:colOff>
      <xdr:row>28</xdr:row>
      <xdr:rowOff>333375</xdr:rowOff>
    </xdr:to>
    <xdr:sp>
      <xdr:nvSpPr>
        <xdr:cNvPr id="1" name="AutoShape 1">
          <a:hlinkClick r:id="rId1"/>
        </xdr:cNvPr>
        <xdr:cNvSpPr>
          <a:spLocks/>
        </xdr:cNvSpPr>
      </xdr:nvSpPr>
      <xdr:spPr>
        <a:xfrm>
          <a:off x="723900" y="5924550"/>
          <a:ext cx="1866900" cy="504825"/>
        </a:xfrm>
        <a:prstGeom prst="bevel">
          <a:avLst/>
        </a:prstGeom>
        <a:solidFill>
          <a:srgbClr val="00FF00"/>
        </a:solidFill>
        <a:ln w="9525" cmpd="sng">
          <a:noFill/>
        </a:ln>
      </xdr:spPr>
      <xdr:txBody>
        <a:bodyPr vertOverflow="clip" wrap="square" lIns="27432" tIns="22860" rIns="0" bIns="0"/>
        <a:p>
          <a:pPr algn="ctr">
            <a:defRPr/>
          </a:pPr>
          <a:r>
            <a:rPr lang="en-US" cap="none" sz="1200" b="1" i="0" u="none" baseline="0">
              <a:solidFill>
                <a:srgbClr val="000000"/>
              </a:solidFill>
              <a:latin typeface="Arial"/>
              <a:ea typeface="Arial"/>
              <a:cs typeface="Arial"/>
            </a:rPr>
            <a:t>Click here to Formulate Finishing Ration </a:t>
          </a:r>
        </a:p>
      </xdr:txBody>
    </xdr:sp>
    <xdr:clientData/>
  </xdr:twoCellAnchor>
  <xdr:twoCellAnchor>
    <xdr:from>
      <xdr:col>9</xdr:col>
      <xdr:colOff>38100</xdr:colOff>
      <xdr:row>74</xdr:row>
      <xdr:rowOff>104775</xdr:rowOff>
    </xdr:from>
    <xdr:to>
      <xdr:col>10</xdr:col>
      <xdr:colOff>933450</xdr:colOff>
      <xdr:row>77</xdr:row>
      <xdr:rowOff>123825</xdr:rowOff>
    </xdr:to>
    <xdr:sp>
      <xdr:nvSpPr>
        <xdr:cNvPr id="2" name="AutoShape 2">
          <a:hlinkClick r:id="rId2"/>
        </xdr:cNvPr>
        <xdr:cNvSpPr>
          <a:spLocks/>
        </xdr:cNvSpPr>
      </xdr:nvSpPr>
      <xdr:spPr>
        <a:xfrm>
          <a:off x="6877050" y="14668500"/>
          <a:ext cx="1695450" cy="561975"/>
        </a:xfrm>
        <a:prstGeom prst="bevel">
          <a:avLst/>
        </a:prstGeom>
        <a:solidFill>
          <a:srgbClr val="00FF00"/>
        </a:solidFill>
        <a:ln w="9525" cmpd="sng">
          <a:noFill/>
        </a:ln>
      </xdr:spPr>
      <xdr:txBody>
        <a:bodyPr vertOverflow="clip" wrap="square" lIns="27432" tIns="22860" rIns="0" bIns="22860" anchor="ctr"/>
        <a:p>
          <a:pPr algn="ctr">
            <a:defRPr/>
          </a:pPr>
          <a:r>
            <a:rPr lang="en-US" cap="none" sz="1200" b="1" i="0" u="none" baseline="0">
              <a:solidFill>
                <a:srgbClr val="000000"/>
              </a:solidFill>
              <a:latin typeface="Arial"/>
              <a:ea typeface="Arial"/>
              <a:cs typeface="Arial"/>
            </a:rPr>
            <a:t>Click here to Return to Feed Costs</a:t>
          </a:r>
        </a:p>
      </xdr:txBody>
    </xdr:sp>
    <xdr:clientData/>
  </xdr:twoCellAnchor>
  <xdr:twoCellAnchor>
    <xdr:from>
      <xdr:col>2</xdr:col>
      <xdr:colOff>1381125</xdr:colOff>
      <xdr:row>39</xdr:row>
      <xdr:rowOff>19050</xdr:rowOff>
    </xdr:from>
    <xdr:to>
      <xdr:col>4</xdr:col>
      <xdr:colOff>704850</xdr:colOff>
      <xdr:row>42</xdr:row>
      <xdr:rowOff>133350</xdr:rowOff>
    </xdr:to>
    <xdr:sp>
      <xdr:nvSpPr>
        <xdr:cNvPr id="3" name="AutoShape 3">
          <a:hlinkClick r:id="rId3"/>
        </xdr:cNvPr>
        <xdr:cNvSpPr>
          <a:spLocks/>
        </xdr:cNvSpPr>
      </xdr:nvSpPr>
      <xdr:spPr>
        <a:xfrm>
          <a:off x="1676400" y="8524875"/>
          <a:ext cx="1866900" cy="571500"/>
        </a:xfrm>
        <a:prstGeom prst="bevel">
          <a:avLst/>
        </a:prstGeom>
        <a:gradFill rotWithShape="1">
          <a:gsLst>
            <a:gs pos="0">
              <a:srgbClr val="2787A0"/>
            </a:gs>
            <a:gs pos="80000">
              <a:srgbClr val="36B1D2"/>
            </a:gs>
            <a:gs pos="100000">
              <a:srgbClr val="34B3D6"/>
            </a:gs>
          </a:gsLst>
          <a:lin ang="5400000" scaled="1"/>
        </a:gradFill>
        <a:ln w="9525" cmpd="sng">
          <a:noFill/>
        </a:ln>
      </xdr:spPr>
      <xdr:txBody>
        <a:bodyPr vertOverflow="clip" wrap="square" lIns="27432" tIns="22860" rIns="0" bIns="22860" anchor="ctr"/>
        <a:p>
          <a:pPr algn="ctr">
            <a:defRPr/>
          </a:pPr>
          <a:r>
            <a:rPr lang="en-US" cap="none" sz="1200" b="1" i="0" u="none" baseline="0">
              <a:solidFill>
                <a:srgbClr val="000000"/>
              </a:solidFill>
              <a:latin typeface="Arial"/>
              <a:ea typeface="Arial"/>
              <a:cs typeface="Arial"/>
            </a:rPr>
            <a:t>Click here to Calculate Health Costs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Calculate Health Costs</a:t>
          </a:r>
        </a:p>
      </xdr:txBody>
    </xdr:sp>
    <xdr:clientData/>
  </xdr:twoCellAnchor>
  <xdr:twoCellAnchor>
    <xdr:from>
      <xdr:col>9</xdr:col>
      <xdr:colOff>238125</xdr:colOff>
      <xdr:row>90</xdr:row>
      <xdr:rowOff>66675</xdr:rowOff>
    </xdr:from>
    <xdr:to>
      <xdr:col>11</xdr:col>
      <xdr:colOff>200025</xdr:colOff>
      <xdr:row>94</xdr:row>
      <xdr:rowOff>95250</xdr:rowOff>
    </xdr:to>
    <xdr:sp>
      <xdr:nvSpPr>
        <xdr:cNvPr id="4" name="AutoShape 4">
          <a:hlinkClick r:id="rId4"/>
        </xdr:cNvPr>
        <xdr:cNvSpPr>
          <a:spLocks/>
        </xdr:cNvSpPr>
      </xdr:nvSpPr>
      <xdr:spPr>
        <a:xfrm>
          <a:off x="7077075" y="17764125"/>
          <a:ext cx="1714500" cy="819150"/>
        </a:xfrm>
        <a:prstGeom prst="bevel">
          <a:avLst/>
        </a:prstGeom>
        <a:gradFill rotWithShape="1">
          <a:gsLst>
            <a:gs pos="0">
              <a:srgbClr val="2787A0"/>
            </a:gs>
            <a:gs pos="80000">
              <a:srgbClr val="36B1D2"/>
            </a:gs>
            <a:gs pos="100000">
              <a:srgbClr val="34B3D6"/>
            </a:gs>
          </a:gsLst>
          <a:lin ang="5400000" scaled="1"/>
        </a:gradFill>
        <a:ln w="9525" cmpd="sng">
          <a:noFill/>
        </a:ln>
      </xdr:spPr>
      <xdr:txBody>
        <a:bodyPr vertOverflow="clip" wrap="square" lIns="27432" tIns="22860" rIns="0" bIns="0"/>
        <a:p>
          <a:pPr algn="ctr">
            <a:defRPr/>
          </a:pPr>
          <a:r>
            <a:rPr lang="en-US" cap="none" sz="1200" b="1" i="0" u="none" baseline="0">
              <a:solidFill>
                <a:srgbClr val="000000"/>
              </a:solidFill>
              <a:latin typeface="Arial"/>
              <a:ea typeface="Arial"/>
              <a:cs typeface="Arial"/>
            </a:rPr>
            <a:t>Click here to Return to Other Variable Costs</a:t>
          </a:r>
        </a:p>
      </xdr:txBody>
    </xdr:sp>
    <xdr:clientData/>
  </xdr:twoCellAnchor>
  <xdr:twoCellAnchor>
    <xdr:from>
      <xdr:col>18</xdr:col>
      <xdr:colOff>9525</xdr:colOff>
      <xdr:row>15</xdr:row>
      <xdr:rowOff>9525</xdr:rowOff>
    </xdr:from>
    <xdr:to>
      <xdr:col>19</xdr:col>
      <xdr:colOff>409575</xdr:colOff>
      <xdr:row>19</xdr:row>
      <xdr:rowOff>152400</xdr:rowOff>
    </xdr:to>
    <xdr:sp>
      <xdr:nvSpPr>
        <xdr:cNvPr id="5" name="AutoShape 5" descr="Image of an arrow from the new lamb death loss result of change, pointing to the net return after changes in key feedlot risk variables. "/>
        <xdr:cNvSpPr>
          <a:spLocks/>
        </xdr:cNvSpPr>
      </xdr:nvSpPr>
      <xdr:spPr>
        <a:xfrm rot="5400000">
          <a:off x="16497300" y="3286125"/>
          <a:ext cx="1628775" cy="1428750"/>
        </a:xfrm>
        <a:prstGeom prst="bentConnector3">
          <a:avLst>
            <a:gd name="adj" fmla="val 99273"/>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285750</xdr:colOff>
      <xdr:row>67</xdr:row>
      <xdr:rowOff>47625</xdr:rowOff>
    </xdr:from>
    <xdr:to>
      <xdr:col>12</xdr:col>
      <xdr:colOff>19050</xdr:colOff>
      <xdr:row>71</xdr:row>
      <xdr:rowOff>142875</xdr:rowOff>
    </xdr:to>
    <xdr:sp macro="[1]!risklamb">
      <xdr:nvSpPr>
        <xdr:cNvPr id="6" name="AutoShape 6"/>
        <xdr:cNvSpPr>
          <a:spLocks/>
        </xdr:cNvSpPr>
      </xdr:nvSpPr>
      <xdr:spPr>
        <a:xfrm>
          <a:off x="7124700" y="13325475"/>
          <a:ext cx="1704975" cy="809625"/>
        </a:xfrm>
        <a:prstGeom prst="bevel">
          <a:avLst/>
        </a:prstGeom>
        <a:solidFill>
          <a:srgbClr val="00FF00"/>
        </a:solidFill>
        <a:ln w="9525" cmpd="sng">
          <a:noFill/>
        </a:ln>
      </xdr:spPr>
      <xdr:txBody>
        <a:bodyPr vertOverflow="clip" wrap="square" lIns="27432" tIns="22860" rIns="27432" bIns="0"/>
        <a:p>
          <a:pPr algn="ctr">
            <a:defRPr/>
          </a:pPr>
          <a:r>
            <a:rPr lang="en-US" cap="none" sz="1200" b="1" i="0" u="none" baseline="0">
              <a:solidFill>
                <a:srgbClr val="000000"/>
              </a:solidFill>
              <a:latin typeface="Arial"/>
              <a:ea typeface="Arial"/>
              <a:cs typeface="Arial"/>
            </a:rPr>
            <a:t>Click here to go To Risk Analysis Section</a:t>
          </a:r>
        </a:p>
      </xdr:txBody>
    </xdr:sp>
    <xdr:clientData/>
  </xdr:twoCellAnchor>
  <xdr:twoCellAnchor>
    <xdr:from>
      <xdr:col>18</xdr:col>
      <xdr:colOff>1190625</xdr:colOff>
      <xdr:row>19</xdr:row>
      <xdr:rowOff>180975</xdr:rowOff>
    </xdr:from>
    <xdr:to>
      <xdr:col>20</xdr:col>
      <xdr:colOff>485775</xdr:colOff>
      <xdr:row>24</xdr:row>
      <xdr:rowOff>133350</xdr:rowOff>
    </xdr:to>
    <xdr:sp>
      <xdr:nvSpPr>
        <xdr:cNvPr id="7" name="AutoShape 7">
          <a:hlinkClick r:id="rId5"/>
        </xdr:cNvPr>
        <xdr:cNvSpPr>
          <a:spLocks/>
        </xdr:cNvSpPr>
      </xdr:nvSpPr>
      <xdr:spPr>
        <a:xfrm>
          <a:off x="17678400" y="4743450"/>
          <a:ext cx="1476375" cy="685800"/>
        </a:xfrm>
        <a:prstGeom prst="bevel">
          <a:avLst/>
        </a:prstGeom>
        <a:solidFill>
          <a:srgbClr val="00FF00"/>
        </a:solidFill>
        <a:ln w="9525" cmpd="sng">
          <a:noFill/>
        </a:ln>
      </xdr:spPr>
      <xdr:txBody>
        <a:bodyPr vertOverflow="clip" wrap="square" lIns="27432" tIns="22860" rIns="27432" bIns="22860" anchor="ctr"/>
        <a:p>
          <a:pPr algn="ctr">
            <a:defRPr/>
          </a:pPr>
          <a:r>
            <a:rPr lang="en-US" cap="none" sz="1200" b="1" i="0" u="none" baseline="0">
              <a:solidFill>
                <a:srgbClr val="000000"/>
              </a:solidFill>
              <a:latin typeface="Arial"/>
              <a:ea typeface="Arial"/>
              <a:cs typeface="Arial"/>
            </a:rPr>
            <a:t>Click here to Return to COP Calculator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mafra.gov.on.ca/Data/Analysis%20Tools/Sheep%20COP%20calculato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Ewe Flock"/>
      <sheetName val="Ewe Flock COP"/>
      <sheetName val="Notes Lamb Finishing"/>
      <sheetName val="Lamb Finishing COP"/>
      <sheetName val="Sheep COP calculators"/>
    </sheetNames>
    <definedNames>
      <definedName name="risklamb"/>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g.info.omafra@ontario.ca" TargetMode="External" /><Relationship Id="rId2" Type="http://schemas.openxmlformats.org/officeDocument/2006/relationships/hyperlink" Target="http://www.omaf.gov.on.ca/"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18"/>
  <sheetViews>
    <sheetView showGridLines="0" tabSelected="1" zoomScaleSheetLayoutView="100" zoomScalePageLayoutView="0" workbookViewId="0" topLeftCell="A1">
      <selection activeCell="A1" sqref="A1"/>
    </sheetView>
  </sheetViews>
  <sheetFormatPr defaultColWidth="9.140625" defaultRowHeight="12.75"/>
  <cols>
    <col min="1" max="1" width="82.28125" style="0" customWidth="1"/>
  </cols>
  <sheetData>
    <row r="1" ht="30" customHeight="1"/>
    <row r="2" spans="1:9" ht="52.5" customHeight="1">
      <c r="A2" s="21" t="s">
        <v>0</v>
      </c>
      <c r="B2" s="23"/>
      <c r="C2" s="23"/>
      <c r="D2" s="23"/>
      <c r="E2" s="23"/>
      <c r="F2" s="23"/>
      <c r="G2" s="23"/>
      <c r="H2" s="23"/>
      <c r="I2" s="23"/>
    </row>
    <row r="3" spans="1:9" ht="15">
      <c r="A3" s="29"/>
      <c r="B3" s="24"/>
      <c r="C3" s="24"/>
      <c r="D3" s="24"/>
      <c r="E3" s="24"/>
      <c r="F3" s="24"/>
      <c r="G3" s="24"/>
      <c r="H3" s="24"/>
      <c r="I3" s="24"/>
    </row>
    <row r="4" spans="1:9" ht="43.5" customHeight="1">
      <c r="A4" s="30" t="s">
        <v>1</v>
      </c>
      <c r="B4" s="25"/>
      <c r="C4" s="25"/>
      <c r="D4" s="25"/>
      <c r="E4" s="25"/>
      <c r="F4" s="25"/>
      <c r="G4" s="25"/>
      <c r="H4" s="25"/>
      <c r="I4" s="25"/>
    </row>
    <row r="5" spans="1:9" ht="15">
      <c r="A5" s="31" t="s">
        <v>2</v>
      </c>
      <c r="B5" s="26"/>
      <c r="C5" s="26"/>
      <c r="D5" s="26"/>
      <c r="E5" s="26"/>
      <c r="F5" s="26"/>
      <c r="G5" s="26"/>
      <c r="H5" s="26"/>
      <c r="I5" s="26"/>
    </row>
    <row r="6" spans="1:9" ht="54" customHeight="1">
      <c r="A6" s="30" t="s">
        <v>3</v>
      </c>
      <c r="B6" s="27"/>
      <c r="C6" s="27"/>
      <c r="D6" s="27"/>
      <c r="E6" s="27"/>
      <c r="F6" s="27"/>
      <c r="G6" s="27"/>
      <c r="H6" s="27"/>
      <c r="I6" s="27"/>
    </row>
    <row r="7" spans="1:9" ht="7.5" customHeight="1">
      <c r="A7" s="29"/>
      <c r="B7" s="24"/>
      <c r="C7" s="24"/>
      <c r="D7" s="24"/>
      <c r="E7" s="24"/>
      <c r="F7" s="24"/>
      <c r="G7" s="24"/>
      <c r="H7" s="24"/>
      <c r="I7" s="24"/>
    </row>
    <row r="8" spans="1:9" ht="46.5" customHeight="1">
      <c r="A8" s="30" t="s">
        <v>4</v>
      </c>
      <c r="B8" s="27"/>
      <c r="C8" s="27"/>
      <c r="D8" s="27"/>
      <c r="E8" s="27"/>
      <c r="F8" s="27"/>
      <c r="G8" s="27"/>
      <c r="H8" s="27"/>
      <c r="I8" s="27"/>
    </row>
    <row r="9" spans="1:9" ht="15">
      <c r="A9" s="29"/>
      <c r="B9" s="24"/>
      <c r="C9" s="24"/>
      <c r="D9" s="24"/>
      <c r="E9" s="24"/>
      <c r="F9" s="24"/>
      <c r="G9" s="24"/>
      <c r="H9" s="24"/>
      <c r="I9" s="24"/>
    </row>
    <row r="10" spans="1:9" ht="15.75">
      <c r="A10" s="32" t="s">
        <v>5</v>
      </c>
      <c r="B10" s="24"/>
      <c r="C10" s="24"/>
      <c r="D10" s="24"/>
      <c r="E10" s="24"/>
      <c r="F10" s="24"/>
      <c r="G10" s="24"/>
      <c r="H10" s="24"/>
      <c r="I10" s="24"/>
    </row>
    <row r="11" spans="1:9" ht="15">
      <c r="A11" s="29" t="s">
        <v>6</v>
      </c>
      <c r="B11" s="24"/>
      <c r="C11" s="24"/>
      <c r="D11" s="24"/>
      <c r="E11" s="24"/>
      <c r="F11" s="24"/>
      <c r="G11" s="24"/>
      <c r="H11" s="24"/>
      <c r="I11" s="24"/>
    </row>
    <row r="12" spans="1:9" ht="15">
      <c r="A12" s="29" t="s">
        <v>7</v>
      </c>
      <c r="B12" s="24"/>
      <c r="C12" s="24"/>
      <c r="D12" s="24"/>
      <c r="E12" s="24"/>
      <c r="F12" s="24"/>
      <c r="G12" s="24"/>
      <c r="H12" s="24"/>
      <c r="I12" s="24"/>
    </row>
    <row r="13" spans="1:9" ht="15">
      <c r="A13" s="29"/>
      <c r="B13" s="24"/>
      <c r="C13" s="24"/>
      <c r="D13" s="24"/>
      <c r="E13" s="24"/>
      <c r="F13" s="24"/>
      <c r="G13" s="24"/>
      <c r="H13" s="24"/>
      <c r="I13" s="24"/>
    </row>
    <row r="14" spans="1:9" ht="15.75">
      <c r="A14" s="33" t="s">
        <v>8</v>
      </c>
      <c r="B14" s="24"/>
      <c r="C14" s="24"/>
      <c r="D14" s="24"/>
      <c r="E14" s="24"/>
      <c r="F14" s="24"/>
      <c r="G14" s="24"/>
      <c r="H14" s="24"/>
      <c r="I14" s="24"/>
    </row>
    <row r="15" spans="1:9" ht="15">
      <c r="A15" s="34" t="s">
        <v>9</v>
      </c>
      <c r="B15" s="22"/>
      <c r="C15" s="22"/>
      <c r="D15" s="22"/>
      <c r="E15" s="22"/>
      <c r="F15" s="22"/>
      <c r="G15" s="22"/>
      <c r="H15" s="22"/>
      <c r="I15" s="22"/>
    </row>
    <row r="16" spans="1:9" ht="15">
      <c r="A16" s="35" t="s">
        <v>10</v>
      </c>
      <c r="B16" s="22"/>
      <c r="C16" s="22"/>
      <c r="D16" s="22"/>
      <c r="E16" s="22"/>
      <c r="F16" s="22"/>
      <c r="G16" s="22"/>
      <c r="H16" s="22"/>
      <c r="I16" s="22"/>
    </row>
    <row r="17" spans="1:9" ht="15">
      <c r="A17" s="36" t="s">
        <v>140</v>
      </c>
      <c r="B17" s="22"/>
      <c r="C17" s="22"/>
      <c r="D17" s="22"/>
      <c r="E17" s="22"/>
      <c r="F17" s="22"/>
      <c r="G17" s="22"/>
      <c r="H17" s="22"/>
      <c r="I17" s="22"/>
    </row>
    <row r="18" spans="1:9" ht="15">
      <c r="A18" s="37" t="s">
        <v>141</v>
      </c>
      <c r="B18" s="22"/>
      <c r="C18" s="22"/>
      <c r="D18" s="22"/>
      <c r="E18" s="22"/>
      <c r="F18" s="22"/>
      <c r="G18" s="22"/>
      <c r="H18" s="22"/>
      <c r="I18" s="22"/>
    </row>
  </sheetData>
  <sheetProtection/>
  <hyperlinks>
    <hyperlink ref="A17" r:id="rId1" display="ag.info.omafra@ontario.ca"/>
    <hyperlink ref="A18" r:id="rId2" display="Ontario Ministry of Agriculture &amp; Food Website"/>
  </hyperlinks>
  <printOptions/>
  <pageMargins left="0.75" right="0.75" top="1" bottom="1" header="0.5" footer="0.5"/>
  <pageSetup blackAndWhite="1" horizontalDpi="600" verticalDpi="600" orientation="portrait" r:id="rId4"/>
  <drawing r:id="rId3"/>
</worksheet>
</file>

<file path=xl/worksheets/sheet2.xml><?xml version="1.0" encoding="utf-8"?>
<worksheet xmlns="http://schemas.openxmlformats.org/spreadsheetml/2006/main" xmlns:r="http://schemas.openxmlformats.org/officeDocument/2006/relationships">
  <dimension ref="A1:AF101"/>
  <sheetViews>
    <sheetView showGridLines="0" zoomScaleSheetLayoutView="100" zoomScalePageLayoutView="0" workbookViewId="0" topLeftCell="A1">
      <selection activeCell="C3" sqref="C3"/>
    </sheetView>
  </sheetViews>
  <sheetFormatPr defaultColWidth="9.140625" defaultRowHeight="12.75"/>
  <cols>
    <col min="1" max="1" width="1.57421875" style="0" customWidth="1"/>
    <col min="2" max="2" width="2.8515625" style="0" customWidth="1"/>
    <col min="3" max="3" width="28.57421875" style="0" customWidth="1"/>
    <col min="4" max="4" width="9.57421875" style="20" customWidth="1"/>
    <col min="5" max="5" width="12.8515625" style="0" customWidth="1"/>
    <col min="6" max="6" width="10.28125" style="0" customWidth="1"/>
    <col min="7" max="7" width="14.00390625" style="0" customWidth="1"/>
    <col min="8" max="8" width="13.140625" style="0" customWidth="1"/>
    <col min="9" max="9" width="9.7109375" style="0" customWidth="1"/>
    <col min="10" max="10" width="12.00390625" style="0" customWidth="1"/>
    <col min="11" max="11" width="14.28125" style="0" customWidth="1"/>
    <col min="12" max="12" width="3.28125" style="0" customWidth="1"/>
    <col min="13" max="13" width="31.57421875" style="0" customWidth="1"/>
    <col min="14" max="14" width="14.00390625" style="0" customWidth="1"/>
    <col min="15" max="15" width="2.57421875" style="0" customWidth="1"/>
    <col min="16" max="16" width="41.140625" style="0" customWidth="1"/>
    <col min="17" max="17" width="12.421875" style="0" customWidth="1"/>
    <col min="18" max="18" width="13.421875" style="0" customWidth="1"/>
    <col min="19" max="19" width="18.421875" style="0" customWidth="1"/>
    <col min="20" max="20" width="14.28125" style="0" customWidth="1"/>
    <col min="21" max="21" width="10.00390625" style="0" customWidth="1"/>
    <col min="22" max="26" width="9.140625" style="0" hidden="1" customWidth="1"/>
    <col min="27" max="27" width="10.140625" style="0" hidden="1" customWidth="1"/>
    <col min="28" max="34" width="9.140625" style="0" hidden="1" customWidth="1"/>
  </cols>
  <sheetData>
    <row r="1" ht="15.75">
      <c r="A1" s="195" t="s">
        <v>142</v>
      </c>
    </row>
    <row r="2" spans="1:21" ht="26.25">
      <c r="A2" s="28" t="s">
        <v>11</v>
      </c>
      <c r="B2" s="28"/>
      <c r="C2" s="28"/>
      <c r="D2" s="28"/>
      <c r="E2" s="28"/>
      <c r="F2" s="28"/>
      <c r="G2" s="28"/>
      <c r="H2" s="28"/>
      <c r="I2" s="28"/>
      <c r="J2" s="28"/>
      <c r="K2" s="28"/>
      <c r="L2" s="2"/>
      <c r="M2" s="3" t="s">
        <v>12</v>
      </c>
      <c r="N2" s="4"/>
      <c r="O2" s="4"/>
      <c r="P2" s="4"/>
      <c r="Q2" s="4"/>
      <c r="R2" s="5"/>
      <c r="S2" s="4"/>
      <c r="T2" s="4"/>
      <c r="U2" s="6"/>
    </row>
    <row r="3" spans="1:21" s="7" customFormat="1" ht="17.25" customHeight="1">
      <c r="A3" s="8"/>
      <c r="B3" s="8"/>
      <c r="C3" s="8"/>
      <c r="D3" s="8"/>
      <c r="E3" s="8"/>
      <c r="F3" s="8"/>
      <c r="G3" s="8"/>
      <c r="H3" s="8"/>
      <c r="I3" s="8"/>
      <c r="J3" s="8"/>
      <c r="K3" s="8"/>
      <c r="L3" s="8"/>
      <c r="M3" s="38" t="s">
        <v>13</v>
      </c>
      <c r="N3" s="38"/>
      <c r="O3" s="38"/>
      <c r="P3" s="38"/>
      <c r="Q3" s="38"/>
      <c r="R3" s="38"/>
      <c r="S3" s="38"/>
      <c r="T3" s="38"/>
      <c r="U3" s="29"/>
    </row>
    <row r="4" spans="1:21" ht="15.75">
      <c r="A4" s="29"/>
      <c r="B4" s="29"/>
      <c r="C4" s="29"/>
      <c r="D4" s="39" t="s">
        <v>127</v>
      </c>
      <c r="E4" s="40"/>
      <c r="F4" s="40"/>
      <c r="G4" s="40"/>
      <c r="H4" s="41"/>
      <c r="I4" s="29"/>
      <c r="J4" s="42" t="s">
        <v>14</v>
      </c>
      <c r="K4" s="43">
        <v>2003</v>
      </c>
      <c r="L4" s="29"/>
      <c r="M4" s="38" t="s">
        <v>15</v>
      </c>
      <c r="N4" s="38"/>
      <c r="O4" s="38"/>
      <c r="P4" s="38"/>
      <c r="Q4" s="38"/>
      <c r="R4" s="38"/>
      <c r="S4" s="38"/>
      <c r="T4" s="38"/>
      <c r="U4" s="29"/>
    </row>
    <row r="5" spans="1:21" ht="15.75">
      <c r="A5" s="44" t="s">
        <v>126</v>
      </c>
      <c r="B5" s="44"/>
      <c r="C5" s="44"/>
      <c r="D5" s="33"/>
      <c r="E5" s="29"/>
      <c r="F5" s="29"/>
      <c r="G5" s="29"/>
      <c r="H5" s="29"/>
      <c r="I5" s="29"/>
      <c r="J5" s="42" t="s">
        <v>16</v>
      </c>
      <c r="K5" s="45">
        <f ca="1">NOW()</f>
        <v>42340.59091284722</v>
      </c>
      <c r="L5" s="29"/>
      <c r="M5" s="38" t="s">
        <v>17</v>
      </c>
      <c r="N5" s="38"/>
      <c r="O5" s="38"/>
      <c r="P5" s="38"/>
      <c r="Q5" s="38"/>
      <c r="R5" s="38"/>
      <c r="S5" s="38"/>
      <c r="T5" s="38"/>
      <c r="U5" s="29"/>
    </row>
    <row r="6" spans="1:21" ht="15.75">
      <c r="A6" s="29"/>
      <c r="B6" s="29"/>
      <c r="C6" s="46" t="s">
        <v>18</v>
      </c>
      <c r="D6" s="47">
        <v>450</v>
      </c>
      <c r="E6" s="29"/>
      <c r="F6" s="48"/>
      <c r="G6" s="48"/>
      <c r="H6" s="49"/>
      <c r="I6" s="29"/>
      <c r="J6" s="29"/>
      <c r="K6" s="29"/>
      <c r="L6" s="29"/>
      <c r="M6" s="38" t="s">
        <v>19</v>
      </c>
      <c r="N6" s="38"/>
      <c r="O6" s="38"/>
      <c r="P6" s="38"/>
      <c r="Q6" s="38"/>
      <c r="R6" s="38"/>
      <c r="S6" s="38"/>
      <c r="T6" s="38"/>
      <c r="U6" s="29"/>
    </row>
    <row r="7" spans="1:21" ht="15.75">
      <c r="A7" s="29"/>
      <c r="B7" s="29"/>
      <c r="C7" s="46" t="s">
        <v>20</v>
      </c>
      <c r="D7" s="50">
        <v>65</v>
      </c>
      <c r="E7" s="29"/>
      <c r="F7" s="51" t="s">
        <v>125</v>
      </c>
      <c r="G7" s="51"/>
      <c r="H7" s="52">
        <f>D8-D7</f>
        <v>25</v>
      </c>
      <c r="I7" s="53" t="s">
        <v>21</v>
      </c>
      <c r="J7" s="54"/>
      <c r="K7" s="29"/>
      <c r="L7" s="29"/>
      <c r="M7" s="38" t="s">
        <v>22</v>
      </c>
      <c r="N7" s="38"/>
      <c r="O7" s="38"/>
      <c r="P7" s="38"/>
      <c r="Q7" s="38"/>
      <c r="R7" s="38"/>
      <c r="S7" s="38"/>
      <c r="T7" s="38"/>
      <c r="U7" s="29"/>
    </row>
    <row r="8" spans="1:21" ht="15.75">
      <c r="A8" s="29"/>
      <c r="B8" s="29"/>
      <c r="C8" s="46" t="s">
        <v>23</v>
      </c>
      <c r="D8" s="50">
        <v>90</v>
      </c>
      <c r="E8" s="29"/>
      <c r="F8" s="55" t="s">
        <v>24</v>
      </c>
      <c r="G8" s="55"/>
      <c r="H8" s="56">
        <f>H7/D9</f>
        <v>0.7142857142857143</v>
      </c>
      <c r="I8" s="57" t="s">
        <v>25</v>
      </c>
      <c r="J8" s="49"/>
      <c r="K8" s="29"/>
      <c r="L8" s="29"/>
      <c r="M8" s="38" t="s">
        <v>26</v>
      </c>
      <c r="N8" s="38"/>
      <c r="O8" s="38"/>
      <c r="P8" s="38"/>
      <c r="Q8" s="38"/>
      <c r="R8" s="38"/>
      <c r="S8" s="38"/>
      <c r="T8" s="38"/>
      <c r="U8" s="29"/>
    </row>
    <row r="9" spans="1:21" ht="15.75">
      <c r="A9" s="29"/>
      <c r="B9" s="29"/>
      <c r="C9" s="46" t="s">
        <v>27</v>
      </c>
      <c r="D9" s="58">
        <v>35</v>
      </c>
      <c r="E9" s="31"/>
      <c r="F9" s="59"/>
      <c r="G9" s="60"/>
      <c r="H9" s="61"/>
      <c r="I9" s="29"/>
      <c r="J9" s="29"/>
      <c r="K9" s="29"/>
      <c r="L9" s="29"/>
      <c r="M9" s="38" t="s">
        <v>28</v>
      </c>
      <c r="N9" s="38"/>
      <c r="O9" s="38"/>
      <c r="P9" s="38"/>
      <c r="Q9" s="38"/>
      <c r="R9" s="38"/>
      <c r="S9" s="38"/>
      <c r="T9" s="38"/>
      <c r="U9" s="29"/>
    </row>
    <row r="10" spans="1:21" ht="18.75">
      <c r="A10" s="29"/>
      <c r="B10" s="29"/>
      <c r="C10" s="46" t="s">
        <v>128</v>
      </c>
      <c r="D10" s="62">
        <v>0.015</v>
      </c>
      <c r="E10" s="29"/>
      <c r="F10" s="29"/>
      <c r="G10" s="29"/>
      <c r="H10" s="29"/>
      <c r="I10" s="29"/>
      <c r="J10" s="29"/>
      <c r="K10" s="29"/>
      <c r="L10" s="29"/>
      <c r="M10" s="38"/>
      <c r="N10" s="38"/>
      <c r="O10" s="38"/>
      <c r="P10" s="38"/>
      <c r="Q10" s="38"/>
      <c r="R10" s="38"/>
      <c r="S10" s="38"/>
      <c r="T10" s="38"/>
      <c r="U10" s="29"/>
    </row>
    <row r="11" spans="1:30" ht="16.5" thickBot="1">
      <c r="A11" s="29"/>
      <c r="B11" s="29"/>
      <c r="C11" s="46" t="s">
        <v>29</v>
      </c>
      <c r="D11" s="63">
        <v>0.75</v>
      </c>
      <c r="E11" s="29"/>
      <c r="F11" s="29"/>
      <c r="G11" s="29"/>
      <c r="H11" s="29"/>
      <c r="I11" s="29"/>
      <c r="J11" s="29"/>
      <c r="K11" s="29"/>
      <c r="L11" s="29"/>
      <c r="M11" s="64" t="s">
        <v>30</v>
      </c>
      <c r="N11" s="8"/>
      <c r="O11" s="38"/>
      <c r="P11" s="65" t="s">
        <v>31</v>
      </c>
      <c r="Q11" s="8" t="s">
        <v>32</v>
      </c>
      <c r="R11" s="64"/>
      <c r="S11" s="64" t="s">
        <v>33</v>
      </c>
      <c r="T11" s="38"/>
      <c r="U11" s="29"/>
      <c r="AD11" s="9"/>
    </row>
    <row r="12" spans="1:28" ht="16.5" thickBot="1">
      <c r="A12" s="29"/>
      <c r="B12" s="29"/>
      <c r="C12" s="46"/>
      <c r="D12" s="66"/>
      <c r="E12" s="29"/>
      <c r="F12" s="29"/>
      <c r="G12" s="29"/>
      <c r="H12" s="29"/>
      <c r="I12" s="29"/>
      <c r="J12" s="29"/>
      <c r="K12" s="29"/>
      <c r="L12" s="29"/>
      <c r="M12" s="38" t="s">
        <v>34</v>
      </c>
      <c r="N12" s="10">
        <f>D14</f>
        <v>1.05</v>
      </c>
      <c r="O12" s="38"/>
      <c r="P12" s="67" t="s">
        <v>35</v>
      </c>
      <c r="Q12" s="11">
        <v>-0.2</v>
      </c>
      <c r="R12" s="38"/>
      <c r="S12" s="67" t="s">
        <v>36</v>
      </c>
      <c r="T12" s="10">
        <f>IF(Q12=0,N12,IF(Q12&gt;0,N12*(1+Q12),N12*(1-(ABS(Q12)))))</f>
        <v>0.8400000000000001</v>
      </c>
      <c r="U12" s="29"/>
      <c r="AA12" s="12">
        <f>((T12*D6*(1-T15)*$E$19)+SUM($K$20:$K$20))/$D$6</f>
        <v>74.4530625</v>
      </c>
      <c r="AB12" t="s">
        <v>37</v>
      </c>
    </row>
    <row r="13" spans="1:28" ht="16.5" thickBot="1">
      <c r="A13" s="29"/>
      <c r="B13" s="29"/>
      <c r="C13" s="46" t="s">
        <v>38</v>
      </c>
      <c r="D13" s="68">
        <v>1</v>
      </c>
      <c r="E13" s="29"/>
      <c r="F13" s="29"/>
      <c r="G13" s="29"/>
      <c r="H13" s="47">
        <v>30</v>
      </c>
      <c r="I13" s="69" t="s">
        <v>39</v>
      </c>
      <c r="J13" s="55"/>
      <c r="K13" s="55"/>
      <c r="L13" s="29"/>
      <c r="M13" s="38" t="s">
        <v>40</v>
      </c>
      <c r="N13" s="10">
        <f>D13</f>
        <v>1</v>
      </c>
      <c r="O13" s="38"/>
      <c r="P13" s="67" t="s">
        <v>41</v>
      </c>
      <c r="Q13" s="11">
        <v>0.1</v>
      </c>
      <c r="R13" s="38"/>
      <c r="S13" s="67" t="s">
        <v>42</v>
      </c>
      <c r="T13" s="10">
        <f>IF(Q13=0,N13,IF(Q13&gt;0,N13*(1+Q13),N13*(1-(ABS(Q13)))))</f>
        <v>1.1</v>
      </c>
      <c r="U13" s="29"/>
      <c r="AA13">
        <f>(D7*T13)</f>
        <v>71.5</v>
      </c>
      <c r="AB13" t="s">
        <v>43</v>
      </c>
    </row>
    <row r="14" spans="1:32" ht="19.5" thickBot="1">
      <c r="A14" s="29"/>
      <c r="B14" s="70" t="s">
        <v>124</v>
      </c>
      <c r="C14" s="71"/>
      <c r="D14" s="68">
        <v>1.05</v>
      </c>
      <c r="E14" s="29"/>
      <c r="F14" s="29"/>
      <c r="G14" s="29"/>
      <c r="H14" s="47">
        <v>75</v>
      </c>
      <c r="I14" s="69" t="s">
        <v>129</v>
      </c>
      <c r="J14" s="55"/>
      <c r="K14" s="55"/>
      <c r="L14" s="29"/>
      <c r="M14" s="38" t="s">
        <v>44</v>
      </c>
      <c r="N14" s="10">
        <f>F65</f>
        <v>0.4779647968053083</v>
      </c>
      <c r="O14" s="38"/>
      <c r="P14" s="67" t="s">
        <v>45</v>
      </c>
      <c r="Q14" s="11">
        <v>-0.2</v>
      </c>
      <c r="R14" s="38"/>
      <c r="S14" s="67" t="s">
        <v>46</v>
      </c>
      <c r="T14" s="10">
        <f>IF(Q14=0,N14,IF(Q14&gt;0,N14*(1+Q14),N14*(1-(ABS(Q14)))))</f>
        <v>0.38237183744424663</v>
      </c>
      <c r="U14" s="29"/>
      <c r="AA14" s="13">
        <f>(T14*H7*I19)/D6</f>
        <v>9.415906497064572</v>
      </c>
      <c r="AB14" t="s">
        <v>47</v>
      </c>
      <c r="AD14">
        <f>AE14*H7</f>
        <v>11.769883121330722</v>
      </c>
      <c r="AE14" s="1">
        <f>(K56-K46-K47-K48-K25)/(D6*H7)</f>
        <v>0.47079532485322884</v>
      </c>
      <c r="AF14" t="s">
        <v>48</v>
      </c>
    </row>
    <row r="15" spans="1:27" ht="16.5" thickBot="1">
      <c r="A15" s="29"/>
      <c r="B15" s="70" t="s">
        <v>49</v>
      </c>
      <c r="C15" s="71"/>
      <c r="D15" s="72">
        <v>5</v>
      </c>
      <c r="E15" s="29" t="s">
        <v>50</v>
      </c>
      <c r="F15" s="29"/>
      <c r="G15" s="29"/>
      <c r="H15" s="73">
        <f>(H14-D7)/H13</f>
        <v>0.3333333333333333</v>
      </c>
      <c r="I15" s="70" t="s">
        <v>51</v>
      </c>
      <c r="J15" s="70"/>
      <c r="K15" s="70"/>
      <c r="L15" s="29"/>
      <c r="M15" s="38" t="s">
        <v>52</v>
      </c>
      <c r="N15" s="14">
        <f>D10</f>
        <v>0.015</v>
      </c>
      <c r="O15" s="38"/>
      <c r="P15" s="67" t="s">
        <v>53</v>
      </c>
      <c r="Q15" s="11">
        <v>0.5</v>
      </c>
      <c r="R15" s="38"/>
      <c r="S15" s="67" t="s">
        <v>54</v>
      </c>
      <c r="T15" s="14">
        <f>IF(Q15=0,N15,IF(Q15&gt;0,N15*(1+Q15),N15*(1-(ABS(Q15)))))</f>
        <v>0.0225</v>
      </c>
      <c r="U15" s="29"/>
      <c r="AA15" s="13"/>
    </row>
    <row r="16" spans="1:31" ht="34.5" customHeight="1" thickBot="1">
      <c r="A16" s="29"/>
      <c r="B16" s="29"/>
      <c r="C16" s="46"/>
      <c r="D16" s="33"/>
      <c r="E16" s="29"/>
      <c r="F16" s="29"/>
      <c r="G16" s="29"/>
      <c r="H16" s="29"/>
      <c r="I16" s="29"/>
      <c r="J16" s="29"/>
      <c r="K16" s="29"/>
      <c r="L16" s="29"/>
      <c r="M16" s="38"/>
      <c r="N16" s="74" t="s">
        <v>55</v>
      </c>
      <c r="O16" s="38"/>
      <c r="P16" s="38"/>
      <c r="Q16" s="38"/>
      <c r="R16" s="38"/>
      <c r="S16" s="38"/>
      <c r="T16" s="38"/>
      <c r="U16" s="29"/>
      <c r="AA16">
        <f>(K46+K47+K48)/D6</f>
        <v>9.653</v>
      </c>
      <c r="AB16" t="s">
        <v>56</v>
      </c>
      <c r="AE16" t="s">
        <v>57</v>
      </c>
    </row>
    <row r="17" spans="1:31" ht="31.5" thickBot="1">
      <c r="A17" s="29"/>
      <c r="B17" s="29"/>
      <c r="C17" s="75" t="s">
        <v>58</v>
      </c>
      <c r="D17" s="76"/>
      <c r="E17" s="77" t="s">
        <v>59</v>
      </c>
      <c r="F17" s="77" t="s">
        <v>60</v>
      </c>
      <c r="G17" s="78" t="s">
        <v>61</v>
      </c>
      <c r="H17" s="77"/>
      <c r="I17" s="79" t="s">
        <v>62</v>
      </c>
      <c r="J17" s="77"/>
      <c r="K17" s="80" t="s">
        <v>63</v>
      </c>
      <c r="L17" s="29"/>
      <c r="M17" s="38"/>
      <c r="N17" s="15">
        <f>K59</f>
        <v>7.2136793786692825</v>
      </c>
      <c r="O17" s="81" t="s">
        <v>64</v>
      </c>
      <c r="P17" s="82"/>
      <c r="Q17" s="82"/>
      <c r="R17" s="83"/>
      <c r="S17" s="38"/>
      <c r="T17" s="38"/>
      <c r="U17" s="29"/>
      <c r="AA17" s="13">
        <f>AA12-AA13-AA14+AA15-AA16</f>
        <v>-16.115843997064573</v>
      </c>
      <c r="AB17" t="s">
        <v>65</v>
      </c>
      <c r="AD17" s="16">
        <f>AA12-AA13-AD14+AA15-AA16</f>
        <v>-18.46982062133072</v>
      </c>
      <c r="AE17" t="s">
        <v>66</v>
      </c>
    </row>
    <row r="18" spans="1:27" ht="15.75">
      <c r="A18" s="84" t="s">
        <v>67</v>
      </c>
      <c r="B18" s="29"/>
      <c r="C18" s="29"/>
      <c r="D18" s="33"/>
      <c r="E18" s="85"/>
      <c r="F18" s="85"/>
      <c r="G18" s="46"/>
      <c r="H18" s="29"/>
      <c r="I18" s="29"/>
      <c r="J18" s="29"/>
      <c r="K18" s="29"/>
      <c r="L18" s="29"/>
      <c r="M18" s="38"/>
      <c r="N18" s="17"/>
      <c r="O18" s="86"/>
      <c r="P18" s="87"/>
      <c r="Q18" s="87"/>
      <c r="R18" s="38"/>
      <c r="S18" s="38"/>
      <c r="T18" s="38"/>
      <c r="U18" s="29"/>
      <c r="AA18" s="18">
        <f>K58/D6</f>
        <v>7.2136793786692825</v>
      </c>
    </row>
    <row r="19" spans="1:21" ht="19.5" thickBot="1">
      <c r="A19" s="29"/>
      <c r="B19" s="29"/>
      <c r="C19" s="46" t="s">
        <v>130</v>
      </c>
      <c r="D19" s="88"/>
      <c r="E19" s="89">
        <f>D8</f>
        <v>90</v>
      </c>
      <c r="F19" s="90" t="s">
        <v>21</v>
      </c>
      <c r="G19" s="91">
        <f>D14</f>
        <v>1.05</v>
      </c>
      <c r="H19" s="29"/>
      <c r="I19" s="88">
        <f>D6-(D6*D10)</f>
        <v>443.25</v>
      </c>
      <c r="J19" s="29"/>
      <c r="K19" s="92">
        <f>I19*E19*G19</f>
        <v>41887.125</v>
      </c>
      <c r="L19" s="29"/>
      <c r="M19" s="38"/>
      <c r="N19" s="93"/>
      <c r="O19" s="38"/>
      <c r="P19" s="38"/>
      <c r="Q19" s="38"/>
      <c r="R19" s="38"/>
      <c r="S19" s="38"/>
      <c r="T19" s="38"/>
      <c r="U19" s="29"/>
    </row>
    <row r="20" spans="1:21" ht="16.5" thickBot="1">
      <c r="A20" s="29"/>
      <c r="B20" s="29"/>
      <c r="C20" s="46" t="s">
        <v>68</v>
      </c>
      <c r="D20" s="94">
        <v>3</v>
      </c>
      <c r="E20" s="95" t="s">
        <v>69</v>
      </c>
      <c r="F20" s="96" t="s">
        <v>21</v>
      </c>
      <c r="G20" s="97">
        <v>0.25</v>
      </c>
      <c r="H20" s="29"/>
      <c r="I20" s="88">
        <f>I19*D11*D20</f>
        <v>997.3125</v>
      </c>
      <c r="J20" s="29"/>
      <c r="K20" s="98">
        <f>G20*D20*(I19)*D11</f>
        <v>249.328125</v>
      </c>
      <c r="L20" s="29"/>
      <c r="M20" s="38"/>
      <c r="N20" s="19">
        <f>AA17</f>
        <v>-16.115843997064573</v>
      </c>
      <c r="O20" s="99" t="s">
        <v>70</v>
      </c>
      <c r="P20" s="82"/>
      <c r="Q20" s="82"/>
      <c r="R20" s="83"/>
      <c r="S20" s="38"/>
      <c r="T20" s="38"/>
      <c r="U20" s="29"/>
    </row>
    <row r="21" spans="1:21" ht="4.5" customHeight="1" thickBot="1">
      <c r="A21" s="29"/>
      <c r="B21" s="29"/>
      <c r="C21" s="46"/>
      <c r="D21" s="33"/>
      <c r="E21" s="29"/>
      <c r="F21" s="29"/>
      <c r="G21" s="29"/>
      <c r="H21" s="29"/>
      <c r="I21" s="29"/>
      <c r="J21" s="29"/>
      <c r="K21" s="29"/>
      <c r="L21" s="29"/>
      <c r="M21" s="38"/>
      <c r="N21" s="38"/>
      <c r="O21" s="100"/>
      <c r="P21" s="100"/>
      <c r="Q21" s="100"/>
      <c r="R21" s="38"/>
      <c r="S21" s="38"/>
      <c r="T21" s="38"/>
      <c r="U21" s="29"/>
    </row>
    <row r="22" spans="1:21" ht="16.5" thickBot="1">
      <c r="A22" s="29"/>
      <c r="B22" s="29"/>
      <c r="C22" s="29"/>
      <c r="D22" s="101"/>
      <c r="E22" s="101"/>
      <c r="F22" s="102" t="s">
        <v>71</v>
      </c>
      <c r="G22" s="103"/>
      <c r="H22" s="103"/>
      <c r="I22" s="104"/>
      <c r="J22" s="104"/>
      <c r="K22" s="105">
        <f>SUM(K19:K20)</f>
        <v>42136.453125</v>
      </c>
      <c r="L22" s="29"/>
      <c r="M22" s="38"/>
      <c r="N22" s="38"/>
      <c r="O22" s="38"/>
      <c r="P22" s="38"/>
      <c r="Q22" s="38"/>
      <c r="R22" s="38"/>
      <c r="S22" s="38"/>
      <c r="T22" s="38"/>
      <c r="U22" s="29"/>
    </row>
    <row r="23" spans="1:21" ht="4.5" customHeight="1">
      <c r="A23" s="29"/>
      <c r="B23" s="29"/>
      <c r="C23" s="55"/>
      <c r="D23" s="55"/>
      <c r="E23" s="55"/>
      <c r="F23" s="55"/>
      <c r="G23" s="55"/>
      <c r="H23" s="55"/>
      <c r="I23" s="55"/>
      <c r="J23" s="55"/>
      <c r="K23" s="55"/>
      <c r="L23" s="29"/>
      <c r="M23" s="29"/>
      <c r="N23" s="29"/>
      <c r="O23" s="29"/>
      <c r="P23" s="29"/>
      <c r="Q23" s="29"/>
      <c r="R23" s="29"/>
      <c r="S23" s="29"/>
      <c r="T23" s="29"/>
      <c r="U23" s="29"/>
    </row>
    <row r="24" spans="1:21" ht="15.75">
      <c r="A24" s="84" t="s">
        <v>72</v>
      </c>
      <c r="B24" s="29"/>
      <c r="C24" s="29"/>
      <c r="D24" s="33"/>
      <c r="E24" s="29"/>
      <c r="F24" s="29"/>
      <c r="G24" s="106"/>
      <c r="H24" s="106"/>
      <c r="I24" s="106"/>
      <c r="J24" s="101"/>
      <c r="K24" s="29"/>
      <c r="L24" s="29"/>
      <c r="M24" s="29"/>
      <c r="N24" s="29"/>
      <c r="O24" s="29"/>
      <c r="P24" s="29"/>
      <c r="Q24" s="29"/>
      <c r="R24" s="29"/>
      <c r="S24" s="29"/>
      <c r="T24" s="29"/>
      <c r="U24" s="29"/>
    </row>
    <row r="25" spans="1:21" ht="15.75">
      <c r="A25" s="84"/>
      <c r="B25" s="29"/>
      <c r="C25" s="29" t="s">
        <v>73</v>
      </c>
      <c r="D25" s="33"/>
      <c r="E25" s="88">
        <f>D7</f>
        <v>65</v>
      </c>
      <c r="F25" s="29" t="s">
        <v>21</v>
      </c>
      <c r="G25" s="107">
        <f>D13</f>
        <v>1</v>
      </c>
      <c r="H25" s="51" t="s">
        <v>74</v>
      </c>
      <c r="I25" s="101">
        <f>D6</f>
        <v>450</v>
      </c>
      <c r="J25" s="101"/>
      <c r="K25" s="108">
        <f>I25*G25*E25</f>
        <v>29250</v>
      </c>
      <c r="L25" s="29"/>
      <c r="M25" s="29"/>
      <c r="N25" s="29"/>
      <c r="O25" s="29"/>
      <c r="P25" s="29"/>
      <c r="Q25" s="29"/>
      <c r="R25" s="29"/>
      <c r="S25" s="29"/>
      <c r="T25" s="29"/>
      <c r="U25" s="29"/>
    </row>
    <row r="26" spans="1:21" ht="15.75">
      <c r="A26" s="84"/>
      <c r="B26" s="29"/>
      <c r="C26" s="29" t="s">
        <v>75</v>
      </c>
      <c r="D26" s="33"/>
      <c r="E26" s="29"/>
      <c r="F26" s="29" t="s">
        <v>76</v>
      </c>
      <c r="G26" s="109">
        <v>1</v>
      </c>
      <c r="H26" s="101"/>
      <c r="I26" s="101"/>
      <c r="J26" s="101"/>
      <c r="K26" s="108">
        <f>I25*G26</f>
        <v>450</v>
      </c>
      <c r="L26" s="29"/>
      <c r="M26" s="110"/>
      <c r="N26" s="110"/>
      <c r="O26" s="110"/>
      <c r="P26" s="110"/>
      <c r="Q26" s="110"/>
      <c r="R26" s="110"/>
      <c r="S26" s="110"/>
      <c r="T26" s="110"/>
      <c r="U26" s="110"/>
    </row>
    <row r="27" spans="1:21" ht="15.75">
      <c r="A27" s="84"/>
      <c r="B27" s="29"/>
      <c r="C27" s="29"/>
      <c r="D27" s="33"/>
      <c r="E27" s="29"/>
      <c r="F27" s="29"/>
      <c r="G27" s="101"/>
      <c r="H27" s="101"/>
      <c r="I27" s="101"/>
      <c r="J27" s="101"/>
      <c r="K27" s="29"/>
      <c r="L27" s="29"/>
      <c r="M27" s="110"/>
      <c r="N27" s="110"/>
      <c r="O27" s="110"/>
      <c r="P27" s="110"/>
      <c r="Q27" s="110"/>
      <c r="R27" s="110"/>
      <c r="S27" s="110"/>
      <c r="T27" s="110"/>
      <c r="U27" s="110"/>
    </row>
    <row r="28" spans="1:21" ht="15.75">
      <c r="A28" s="29"/>
      <c r="B28" s="29"/>
      <c r="C28" s="29"/>
      <c r="D28" s="33"/>
      <c r="E28" s="29"/>
      <c r="F28" s="29"/>
      <c r="G28" s="29"/>
      <c r="H28" s="29"/>
      <c r="I28" s="29"/>
      <c r="J28" s="29"/>
      <c r="K28" s="29"/>
      <c r="L28" s="29"/>
      <c r="M28" s="110"/>
      <c r="N28" s="110"/>
      <c r="O28" s="110"/>
      <c r="P28" s="110"/>
      <c r="Q28" s="110"/>
      <c r="R28" s="110"/>
      <c r="S28" s="110"/>
      <c r="T28" s="110"/>
      <c r="U28" s="110"/>
    </row>
    <row r="29" spans="1:21" ht="32.25" customHeight="1">
      <c r="A29" s="29"/>
      <c r="B29" s="70" t="s">
        <v>77</v>
      </c>
      <c r="C29" s="70"/>
      <c r="D29" s="33"/>
      <c r="E29" s="111" t="s">
        <v>78</v>
      </c>
      <c r="F29" s="29"/>
      <c r="G29" s="29"/>
      <c r="H29" s="29"/>
      <c r="I29" s="29"/>
      <c r="J29" s="29"/>
      <c r="K29" s="29"/>
      <c r="L29" s="29"/>
      <c r="M29" s="110"/>
      <c r="N29" s="110"/>
      <c r="O29" s="110"/>
      <c r="P29" s="110"/>
      <c r="Q29" s="110"/>
      <c r="R29" s="110"/>
      <c r="S29" s="110"/>
      <c r="T29" s="110"/>
      <c r="U29" s="110"/>
    </row>
    <row r="30" spans="1:21" ht="15.75">
      <c r="A30" s="29"/>
      <c r="B30" s="112"/>
      <c r="C30" s="112" t="s">
        <v>79</v>
      </c>
      <c r="D30" s="46"/>
      <c r="E30" s="62">
        <v>0.05</v>
      </c>
      <c r="F30" s="29" t="s">
        <v>80</v>
      </c>
      <c r="G30" s="113">
        <v>55</v>
      </c>
      <c r="H30" s="29"/>
      <c r="I30" s="114">
        <f>(1+E30)*$I$25*20/2204</f>
        <v>4.287658802177859</v>
      </c>
      <c r="J30" s="29"/>
      <c r="K30" s="115">
        <f aca="true" t="shared" si="0" ref="K30:K38">I30*G30</f>
        <v>235.82123411978222</v>
      </c>
      <c r="L30" s="29"/>
      <c r="M30" s="110"/>
      <c r="N30" s="110"/>
      <c r="O30" s="110"/>
      <c r="P30" s="110"/>
      <c r="Q30" s="110"/>
      <c r="R30" s="110"/>
      <c r="S30" s="110"/>
      <c r="T30" s="110"/>
      <c r="U30" s="110"/>
    </row>
    <row r="31" spans="1:21" ht="15.75">
      <c r="A31" s="29"/>
      <c r="B31" s="29"/>
      <c r="C31" s="29" t="str">
        <f aca="true" t="shared" si="1" ref="C31:C38">E78</f>
        <v>Mixed Hay</v>
      </c>
      <c r="D31" s="33"/>
      <c r="E31" s="62">
        <v>0.05</v>
      </c>
      <c r="F31" s="29" t="s">
        <v>80</v>
      </c>
      <c r="G31" s="113">
        <v>55</v>
      </c>
      <c r="H31" s="29"/>
      <c r="I31" s="114">
        <f aca="true" t="shared" si="2" ref="I31:I38">((1+E31)*D78*$D$15*($D$8-$H$14)*$I$25/2205)</f>
        <v>0.8035714285714286</v>
      </c>
      <c r="J31" s="29"/>
      <c r="K31" s="115">
        <f t="shared" si="0"/>
        <v>44.19642857142858</v>
      </c>
      <c r="L31" s="29"/>
      <c r="M31" s="110"/>
      <c r="N31" s="110"/>
      <c r="O31" s="110"/>
      <c r="P31" s="110"/>
      <c r="Q31" s="110"/>
      <c r="R31" s="110"/>
      <c r="S31" s="110"/>
      <c r="T31" s="110"/>
      <c r="U31" s="110"/>
    </row>
    <row r="32" spans="1:21" ht="15.75">
      <c r="A32" s="29"/>
      <c r="B32" s="29"/>
      <c r="C32" s="29" t="str">
        <f t="shared" si="1"/>
        <v>Alfalfa Hay</v>
      </c>
      <c r="D32" s="33"/>
      <c r="E32" s="62">
        <v>0.005</v>
      </c>
      <c r="F32" s="29" t="s">
        <v>80</v>
      </c>
      <c r="G32" s="113">
        <v>80</v>
      </c>
      <c r="H32" s="29"/>
      <c r="I32" s="114">
        <f t="shared" si="2"/>
        <v>0</v>
      </c>
      <c r="J32" s="29"/>
      <c r="K32" s="115">
        <f t="shared" si="0"/>
        <v>0</v>
      </c>
      <c r="L32" s="29"/>
      <c r="M32" s="110"/>
      <c r="N32" s="110"/>
      <c r="O32" s="110"/>
      <c r="P32" s="110"/>
      <c r="Q32" s="110"/>
      <c r="R32" s="110"/>
      <c r="S32" s="110"/>
      <c r="T32" s="110"/>
      <c r="U32" s="110"/>
    </row>
    <row r="33" spans="1:21" ht="15.75">
      <c r="A33" s="29"/>
      <c r="B33" s="29"/>
      <c r="C33" s="29" t="str">
        <f t="shared" si="1"/>
        <v>Corn  </v>
      </c>
      <c r="D33" s="33"/>
      <c r="E33" s="62">
        <v>0</v>
      </c>
      <c r="F33" s="29" t="s">
        <v>80</v>
      </c>
      <c r="G33" s="113">
        <v>160</v>
      </c>
      <c r="H33" s="29"/>
      <c r="I33" s="114">
        <f t="shared" si="2"/>
        <v>13.005612244897959</v>
      </c>
      <c r="J33" s="29"/>
      <c r="K33" s="115">
        <f t="shared" si="0"/>
        <v>2080.8979591836733</v>
      </c>
      <c r="L33" s="29"/>
      <c r="M33" s="110"/>
      <c r="N33" s="110"/>
      <c r="O33" s="110"/>
      <c r="P33" s="110"/>
      <c r="Q33" s="110"/>
      <c r="R33" s="110"/>
      <c r="S33" s="110"/>
      <c r="T33" s="110"/>
      <c r="U33" s="110"/>
    </row>
    <row r="34" spans="1:21" ht="15.75">
      <c r="A34" s="29"/>
      <c r="B34" s="29"/>
      <c r="C34" s="29" t="str">
        <f t="shared" si="1"/>
        <v>Barley</v>
      </c>
      <c r="D34" s="33"/>
      <c r="E34" s="116">
        <v>0</v>
      </c>
      <c r="F34" s="29" t="s">
        <v>80</v>
      </c>
      <c r="G34" s="113">
        <v>145</v>
      </c>
      <c r="H34" s="29"/>
      <c r="I34" s="114">
        <f t="shared" si="2"/>
        <v>0</v>
      </c>
      <c r="J34" s="29"/>
      <c r="K34" s="115">
        <f t="shared" si="0"/>
        <v>0</v>
      </c>
      <c r="L34" s="29"/>
      <c r="M34" s="110"/>
      <c r="N34" s="110"/>
      <c r="O34" s="110"/>
      <c r="P34" s="110"/>
      <c r="Q34" s="110"/>
      <c r="R34" s="110"/>
      <c r="S34" s="110"/>
      <c r="T34" s="110"/>
      <c r="U34" s="110"/>
    </row>
    <row r="35" spans="1:21" ht="15.75">
      <c r="A35" s="29"/>
      <c r="B35" s="29"/>
      <c r="C35" s="29" t="str">
        <f t="shared" si="1"/>
        <v>Protein Suppl. Pellet</v>
      </c>
      <c r="D35" s="33"/>
      <c r="E35" s="117">
        <v>0</v>
      </c>
      <c r="F35" s="29" t="s">
        <v>80</v>
      </c>
      <c r="G35" s="113">
        <v>400</v>
      </c>
      <c r="H35" s="29"/>
      <c r="I35" s="114">
        <f t="shared" si="2"/>
        <v>1.530612244897959</v>
      </c>
      <c r="J35" s="29"/>
      <c r="K35" s="115">
        <f t="shared" si="0"/>
        <v>612.2448979591836</v>
      </c>
      <c r="L35" s="29"/>
      <c r="M35" s="110"/>
      <c r="N35" s="110"/>
      <c r="O35" s="110"/>
      <c r="P35" s="110"/>
      <c r="Q35" s="110"/>
      <c r="R35" s="110"/>
      <c r="S35" s="110"/>
      <c r="T35" s="110"/>
      <c r="U35" s="110"/>
    </row>
    <row r="36" spans="1:21" ht="15.75">
      <c r="A36" s="29"/>
      <c r="B36" s="118"/>
      <c r="C36" s="29" t="str">
        <f t="shared" si="1"/>
        <v>Soybean meal</v>
      </c>
      <c r="D36" s="33"/>
      <c r="E36" s="116">
        <v>0</v>
      </c>
      <c r="F36" s="29" t="s">
        <v>80</v>
      </c>
      <c r="G36" s="113">
        <v>320</v>
      </c>
      <c r="H36" s="29"/>
      <c r="I36" s="114">
        <f t="shared" si="2"/>
        <v>0</v>
      </c>
      <c r="J36" s="29"/>
      <c r="K36" s="115">
        <f t="shared" si="0"/>
        <v>0</v>
      </c>
      <c r="L36" s="29"/>
      <c r="M36" s="110"/>
      <c r="N36" s="110"/>
      <c r="O36" s="110"/>
      <c r="P36" s="110"/>
      <c r="Q36" s="110"/>
      <c r="R36" s="110"/>
      <c r="S36" s="110"/>
      <c r="T36" s="110"/>
      <c r="U36" s="110"/>
    </row>
    <row r="37" spans="1:21" ht="15.75">
      <c r="A37" s="29"/>
      <c r="B37" s="29"/>
      <c r="C37" s="29" t="str">
        <f t="shared" si="1"/>
        <v>Salt</v>
      </c>
      <c r="D37" s="33"/>
      <c r="E37" s="62">
        <v>0</v>
      </c>
      <c r="F37" s="29" t="s">
        <v>80</v>
      </c>
      <c r="G37" s="113">
        <v>200</v>
      </c>
      <c r="H37" s="29"/>
      <c r="I37" s="114">
        <f t="shared" si="2"/>
        <v>0.001530612244897959</v>
      </c>
      <c r="J37" s="29"/>
      <c r="K37" s="115">
        <f t="shared" si="0"/>
        <v>0.30612244897959184</v>
      </c>
      <c r="L37" s="29"/>
      <c r="M37" s="110"/>
      <c r="N37" s="110"/>
      <c r="O37" s="110"/>
      <c r="P37" s="110"/>
      <c r="Q37" s="110"/>
      <c r="R37" s="110"/>
      <c r="S37" s="110"/>
      <c r="T37" s="110"/>
      <c r="U37" s="110"/>
    </row>
    <row r="38" spans="1:21" ht="15.75">
      <c r="A38" s="29"/>
      <c r="B38" s="29"/>
      <c r="C38" s="119" t="str">
        <f t="shared" si="1"/>
        <v>Mineral</v>
      </c>
      <c r="D38" s="120"/>
      <c r="E38" s="62">
        <v>0</v>
      </c>
      <c r="F38" s="29" t="s">
        <v>80</v>
      </c>
      <c r="G38" s="113">
        <v>1000</v>
      </c>
      <c r="H38" s="29"/>
      <c r="I38" s="114">
        <f t="shared" si="2"/>
        <v>0.003061224489795918</v>
      </c>
      <c r="J38" s="29"/>
      <c r="K38" s="115">
        <f t="shared" si="0"/>
        <v>3.061224489795918</v>
      </c>
      <c r="L38" s="29"/>
      <c r="M38" s="110"/>
      <c r="N38" s="110"/>
      <c r="O38" s="110"/>
      <c r="P38" s="110"/>
      <c r="Q38" s="110"/>
      <c r="R38" s="110"/>
      <c r="S38" s="110"/>
      <c r="T38" s="110"/>
      <c r="U38" s="110"/>
    </row>
    <row r="39" spans="1:21" ht="15.75">
      <c r="A39" s="29"/>
      <c r="B39" s="29"/>
      <c r="C39" s="29" t="s">
        <v>81</v>
      </c>
      <c r="D39" s="33"/>
      <c r="E39" s="121"/>
      <c r="F39" s="122" t="s">
        <v>82</v>
      </c>
      <c r="G39" s="123">
        <v>0.015</v>
      </c>
      <c r="H39" s="29"/>
      <c r="I39" s="114"/>
      <c r="J39" s="29"/>
      <c r="K39" s="115">
        <f>G39*D6*H13</f>
        <v>202.5</v>
      </c>
      <c r="L39" s="29"/>
      <c r="M39" s="110"/>
      <c r="N39" s="110"/>
      <c r="O39" s="110"/>
      <c r="P39" s="110"/>
      <c r="Q39" s="110"/>
      <c r="R39" s="110"/>
      <c r="S39" s="110"/>
      <c r="T39" s="110"/>
      <c r="U39" s="110"/>
    </row>
    <row r="40" spans="1:21" ht="15.75">
      <c r="A40" s="29"/>
      <c r="B40" s="118"/>
      <c r="C40" s="119"/>
      <c r="D40" s="33"/>
      <c r="E40" s="29"/>
      <c r="F40" s="29"/>
      <c r="G40" s="29"/>
      <c r="H40" s="29"/>
      <c r="I40" s="29"/>
      <c r="J40" s="29"/>
      <c r="K40" s="115"/>
      <c r="L40" s="29"/>
      <c r="M40" s="110"/>
      <c r="N40" s="110"/>
      <c r="O40" s="110"/>
      <c r="P40" s="110"/>
      <c r="Q40" s="110"/>
      <c r="R40" s="110"/>
      <c r="S40" s="110"/>
      <c r="T40" s="110"/>
      <c r="U40" s="110"/>
    </row>
    <row r="41" spans="1:21" ht="3.75" customHeight="1" thickBot="1">
      <c r="A41" s="29"/>
      <c r="B41" s="29"/>
      <c r="C41" s="29"/>
      <c r="D41" s="33"/>
      <c r="E41" s="121"/>
      <c r="F41" s="122"/>
      <c r="G41" s="124"/>
      <c r="H41" s="29"/>
      <c r="I41" s="29"/>
      <c r="J41" s="29"/>
      <c r="K41" s="115"/>
      <c r="L41" s="29"/>
      <c r="M41" s="110"/>
      <c r="N41" s="110"/>
      <c r="O41" s="110"/>
      <c r="P41" s="110"/>
      <c r="Q41" s="110"/>
      <c r="R41" s="110"/>
      <c r="S41" s="110"/>
      <c r="T41" s="110"/>
      <c r="U41" s="110"/>
    </row>
    <row r="42" spans="1:21" ht="16.5" thickBot="1">
      <c r="A42" s="29"/>
      <c r="B42" s="29"/>
      <c r="C42" s="29"/>
      <c r="D42" s="33"/>
      <c r="E42" s="29"/>
      <c r="F42" s="125" t="s">
        <v>83</v>
      </c>
      <c r="G42" s="126"/>
      <c r="H42" s="127"/>
      <c r="I42" s="127"/>
      <c r="J42" s="127"/>
      <c r="K42" s="128">
        <f>SUM(K31:K40)</f>
        <v>2943.206632653061</v>
      </c>
      <c r="L42" s="29"/>
      <c r="M42" s="110"/>
      <c r="N42" s="110"/>
      <c r="O42" s="110"/>
      <c r="P42" s="110"/>
      <c r="Q42" s="110"/>
      <c r="R42" s="110"/>
      <c r="S42" s="110"/>
      <c r="T42" s="110"/>
      <c r="U42" s="110"/>
    </row>
    <row r="43" spans="1:21" ht="13.5" customHeight="1">
      <c r="A43" s="29"/>
      <c r="B43" s="129" t="s">
        <v>84</v>
      </c>
      <c r="C43" s="29"/>
      <c r="D43" s="33"/>
      <c r="E43" s="29"/>
      <c r="F43" s="29"/>
      <c r="G43" s="29"/>
      <c r="H43" s="29"/>
      <c r="I43" s="29"/>
      <c r="J43" s="29"/>
      <c r="K43" s="29"/>
      <c r="L43" s="29"/>
      <c r="M43" s="110"/>
      <c r="N43" s="110"/>
      <c r="O43" s="110"/>
      <c r="P43" s="110"/>
      <c r="Q43" s="110"/>
      <c r="R43" s="110"/>
      <c r="S43" s="110"/>
      <c r="T43" s="110"/>
      <c r="U43" s="110"/>
    </row>
    <row r="44" spans="1:21" ht="15.75">
      <c r="A44" s="29"/>
      <c r="B44" s="29"/>
      <c r="C44" s="130" t="s">
        <v>85</v>
      </c>
      <c r="D44" s="33"/>
      <c r="E44" s="131">
        <f>K44/D6</f>
        <v>0.79</v>
      </c>
      <c r="F44" s="29" t="s">
        <v>86</v>
      </c>
      <c r="G44" s="29"/>
      <c r="H44" s="29"/>
      <c r="I44" s="29"/>
      <c r="J44" s="29"/>
      <c r="K44" s="115">
        <f>H100</f>
        <v>355.5</v>
      </c>
      <c r="L44" s="29"/>
      <c r="M44" s="110"/>
      <c r="N44" s="110"/>
      <c r="O44" s="110"/>
      <c r="P44" s="110"/>
      <c r="Q44" s="110"/>
      <c r="R44" s="110"/>
      <c r="S44" s="110"/>
      <c r="T44" s="110"/>
      <c r="U44" s="110"/>
    </row>
    <row r="45" spans="1:21" ht="18.75">
      <c r="A45" s="29"/>
      <c r="B45" s="29"/>
      <c r="C45" s="130" t="s">
        <v>131</v>
      </c>
      <c r="D45" s="33"/>
      <c r="E45" s="132">
        <v>0.35</v>
      </c>
      <c r="F45" s="29" t="s">
        <v>86</v>
      </c>
      <c r="G45" s="29"/>
      <c r="H45" s="29"/>
      <c r="I45" s="29"/>
      <c r="J45" s="29"/>
      <c r="K45" s="115">
        <f>E45*$I$19</f>
        <v>155.1375</v>
      </c>
      <c r="L45" s="29"/>
      <c r="M45" s="110"/>
      <c r="N45" s="110"/>
      <c r="O45" s="110"/>
      <c r="P45" s="110"/>
      <c r="Q45" s="110"/>
      <c r="R45" s="110"/>
      <c r="S45" s="110"/>
      <c r="T45" s="110"/>
      <c r="U45" s="110"/>
    </row>
    <row r="46" spans="1:21" ht="15.75">
      <c r="A46" s="29"/>
      <c r="B46" s="29"/>
      <c r="C46" s="130" t="s">
        <v>87</v>
      </c>
      <c r="D46" s="33"/>
      <c r="E46" s="132">
        <v>3.75</v>
      </c>
      <c r="F46" s="29" t="s">
        <v>86</v>
      </c>
      <c r="G46" s="29"/>
      <c r="H46" s="29"/>
      <c r="I46" s="29"/>
      <c r="J46" s="29"/>
      <c r="K46" s="115">
        <f>E46*$I$19</f>
        <v>1662.1875</v>
      </c>
      <c r="L46" s="29"/>
      <c r="M46" s="110"/>
      <c r="N46" s="110"/>
      <c r="O46" s="110"/>
      <c r="P46" s="110"/>
      <c r="Q46" s="110"/>
      <c r="R46" s="110"/>
      <c r="S46" s="110"/>
      <c r="T46" s="110"/>
      <c r="U46" s="110"/>
    </row>
    <row r="47" spans="1:21" ht="15.75">
      <c r="A47" s="29"/>
      <c r="B47" s="29"/>
      <c r="C47" s="29" t="s">
        <v>88</v>
      </c>
      <c r="D47" s="33"/>
      <c r="E47" s="132">
        <v>4.5</v>
      </c>
      <c r="F47" s="29" t="s">
        <v>86</v>
      </c>
      <c r="G47" s="29"/>
      <c r="H47" s="29"/>
      <c r="I47" s="29"/>
      <c r="J47" s="29"/>
      <c r="K47" s="115">
        <f>E47*$I$19</f>
        <v>1994.625</v>
      </c>
      <c r="L47" s="29"/>
      <c r="M47" s="110"/>
      <c r="N47" s="110"/>
      <c r="O47" s="110"/>
      <c r="P47" s="110"/>
      <c r="Q47" s="110"/>
      <c r="R47" s="110"/>
      <c r="S47" s="110"/>
      <c r="T47" s="110"/>
      <c r="U47" s="110"/>
    </row>
    <row r="48" spans="1:21" ht="15.75">
      <c r="A48" s="29"/>
      <c r="B48" s="29"/>
      <c r="C48" s="29" t="s">
        <v>89</v>
      </c>
      <c r="D48" s="33"/>
      <c r="E48" s="132">
        <v>1.55</v>
      </c>
      <c r="F48" s="29" t="s">
        <v>86</v>
      </c>
      <c r="G48" s="29"/>
      <c r="H48" s="29"/>
      <c r="I48" s="29"/>
      <c r="J48" s="29"/>
      <c r="K48" s="115">
        <f>E48*$I$19</f>
        <v>687.0375</v>
      </c>
      <c r="L48" s="29"/>
      <c r="M48" s="110"/>
      <c r="N48" s="110"/>
      <c r="O48" s="110"/>
      <c r="P48" s="110"/>
      <c r="Q48" s="110"/>
      <c r="R48" s="110"/>
      <c r="S48" s="110"/>
      <c r="T48" s="110"/>
      <c r="U48" s="110"/>
    </row>
    <row r="49" spans="1:21" ht="15.75">
      <c r="A49" s="29"/>
      <c r="B49" s="29"/>
      <c r="C49" s="130" t="s">
        <v>90</v>
      </c>
      <c r="D49" s="33"/>
      <c r="E49" s="133">
        <v>2.5</v>
      </c>
      <c r="F49" s="29" t="s">
        <v>86</v>
      </c>
      <c r="G49" s="29"/>
      <c r="H49" s="29"/>
      <c r="I49" s="29"/>
      <c r="J49" s="29"/>
      <c r="K49" s="115">
        <f>E49*D6*D11</f>
        <v>843.75</v>
      </c>
      <c r="L49" s="29"/>
      <c r="M49" s="110"/>
      <c r="N49" s="110"/>
      <c r="O49" s="110"/>
      <c r="P49" s="110"/>
      <c r="Q49" s="110"/>
      <c r="R49" s="110"/>
      <c r="S49" s="110"/>
      <c r="T49" s="110"/>
      <c r="U49" s="110"/>
    </row>
    <row r="50" spans="1:21" ht="15.75">
      <c r="A50" s="29"/>
      <c r="B50" s="29"/>
      <c r="C50" s="130" t="s">
        <v>91</v>
      </c>
      <c r="D50" s="33"/>
      <c r="E50" s="132">
        <v>0.35</v>
      </c>
      <c r="F50" s="29" t="s">
        <v>86</v>
      </c>
      <c r="G50" s="29"/>
      <c r="H50" s="29"/>
      <c r="I50" s="29"/>
      <c r="J50" s="29"/>
      <c r="K50" s="115">
        <f>E50*$I$19</f>
        <v>155.1375</v>
      </c>
      <c r="L50" s="29"/>
      <c r="M50" s="110"/>
      <c r="N50" s="110"/>
      <c r="O50" s="110"/>
      <c r="P50" s="110"/>
      <c r="Q50" s="110"/>
      <c r="R50" s="110"/>
      <c r="S50" s="110"/>
      <c r="T50" s="110"/>
      <c r="U50" s="110"/>
    </row>
    <row r="51" spans="1:21" ht="15.75">
      <c r="A51" s="29"/>
      <c r="B51" s="29"/>
      <c r="C51" s="130" t="s">
        <v>92</v>
      </c>
      <c r="D51" s="33"/>
      <c r="E51" s="133">
        <v>0.35</v>
      </c>
      <c r="F51" s="29" t="s">
        <v>86</v>
      </c>
      <c r="G51" s="29"/>
      <c r="H51" s="29"/>
      <c r="I51" s="29"/>
      <c r="J51" s="29"/>
      <c r="K51" s="115">
        <f>E51*$I$19</f>
        <v>155.1375</v>
      </c>
      <c r="L51" s="29"/>
      <c r="M51" s="110"/>
      <c r="N51" s="110"/>
      <c r="O51" s="110"/>
      <c r="P51" s="110"/>
      <c r="Q51" s="110"/>
      <c r="R51" s="110"/>
      <c r="S51" s="110"/>
      <c r="T51" s="110"/>
      <c r="U51" s="110"/>
    </row>
    <row r="52" spans="1:21" ht="15.75">
      <c r="A52" s="29"/>
      <c r="B52" s="29"/>
      <c r="C52" s="130" t="s">
        <v>93</v>
      </c>
      <c r="D52" s="33"/>
      <c r="E52" s="134">
        <v>0.2</v>
      </c>
      <c r="F52" s="29" t="s">
        <v>86</v>
      </c>
      <c r="G52" s="29"/>
      <c r="H52" s="29"/>
      <c r="I52" s="29"/>
      <c r="J52" s="29"/>
      <c r="K52" s="115">
        <f>E52*$I$19</f>
        <v>88.65</v>
      </c>
      <c r="L52" s="29"/>
      <c r="M52" s="110"/>
      <c r="N52" s="110"/>
      <c r="O52" s="110"/>
      <c r="P52" s="110"/>
      <c r="Q52" s="110"/>
      <c r="R52" s="110"/>
      <c r="S52" s="110"/>
      <c r="T52" s="110"/>
      <c r="U52" s="110"/>
    </row>
    <row r="53" spans="1:21" ht="15.75">
      <c r="A53" s="29"/>
      <c r="B53" s="29"/>
      <c r="C53" s="130" t="s">
        <v>94</v>
      </c>
      <c r="D53" s="33"/>
      <c r="E53" s="135">
        <v>0.2</v>
      </c>
      <c r="F53" s="29" t="s">
        <v>86</v>
      </c>
      <c r="G53" s="29"/>
      <c r="H53" s="29"/>
      <c r="I53" s="29"/>
      <c r="J53" s="29"/>
      <c r="K53" s="115">
        <f>E53*$I$19</f>
        <v>88.65</v>
      </c>
      <c r="L53" s="29"/>
      <c r="M53" s="110"/>
      <c r="N53" s="110"/>
      <c r="O53" s="110"/>
      <c r="P53" s="110"/>
      <c r="Q53" s="110"/>
      <c r="R53" s="110"/>
      <c r="S53" s="110"/>
      <c r="T53" s="110"/>
      <c r="U53" s="110"/>
    </row>
    <row r="54" spans="1:21" ht="18.75">
      <c r="A54" s="29"/>
      <c r="B54" s="29"/>
      <c r="C54" s="130" t="s">
        <v>132</v>
      </c>
      <c r="D54" s="33"/>
      <c r="E54" s="136">
        <v>5</v>
      </c>
      <c r="F54" s="29" t="s">
        <v>95</v>
      </c>
      <c r="G54" s="29"/>
      <c r="H54" s="58">
        <v>135</v>
      </c>
      <c r="I54" s="29" t="s">
        <v>96</v>
      </c>
      <c r="J54" s="29"/>
      <c r="K54" s="115">
        <f>((0.5*K42)+(K44+K45+K49+K50+K51+K52+K53))*E54/100*H54/365</f>
        <v>61.278271945764615</v>
      </c>
      <c r="L54" s="29"/>
      <c r="M54" s="110"/>
      <c r="N54" s="110"/>
      <c r="O54" s="110"/>
      <c r="P54" s="110"/>
      <c r="Q54" s="110"/>
      <c r="R54" s="110"/>
      <c r="S54" s="110"/>
      <c r="T54" s="110"/>
      <c r="U54" s="110"/>
    </row>
    <row r="55" spans="1:21" ht="6" customHeight="1" thickBot="1">
      <c r="A55" s="29"/>
      <c r="B55" s="29"/>
      <c r="C55" s="29"/>
      <c r="D55" s="33"/>
      <c r="E55" s="29"/>
      <c r="F55" s="29"/>
      <c r="G55" s="29"/>
      <c r="H55" s="29"/>
      <c r="I55" s="29"/>
      <c r="J55" s="29"/>
      <c r="K55" s="29"/>
      <c r="L55" s="29"/>
      <c r="M55" s="110"/>
      <c r="N55" s="110"/>
      <c r="O55" s="110"/>
      <c r="P55" s="110"/>
      <c r="Q55" s="110"/>
      <c r="R55" s="110"/>
      <c r="S55" s="110"/>
      <c r="T55" s="110"/>
      <c r="U55" s="110"/>
    </row>
    <row r="56" spans="1:21" ht="16.5" thickBot="1">
      <c r="A56" s="137"/>
      <c r="B56" s="29"/>
      <c r="C56" s="29"/>
      <c r="D56" s="33"/>
      <c r="E56" s="29"/>
      <c r="F56" s="125" t="s">
        <v>97</v>
      </c>
      <c r="G56" s="126"/>
      <c r="H56" s="126"/>
      <c r="I56" s="127"/>
      <c r="J56" s="127"/>
      <c r="K56" s="128">
        <f>SUM(K42:K54)+(K25+K26)</f>
        <v>38890.29740459882</v>
      </c>
      <c r="L56" s="29"/>
      <c r="M56" s="110"/>
      <c r="N56" s="110"/>
      <c r="O56" s="110"/>
      <c r="P56" s="110"/>
      <c r="Q56" s="110"/>
      <c r="R56" s="110"/>
      <c r="S56" s="110"/>
      <c r="T56" s="110"/>
      <c r="U56" s="110"/>
    </row>
    <row r="57" spans="1:21" ht="3.75" customHeight="1" thickBot="1">
      <c r="A57" s="29"/>
      <c r="B57" s="29"/>
      <c r="C57" s="29"/>
      <c r="D57" s="33"/>
      <c r="E57" s="29"/>
      <c r="F57" s="29"/>
      <c r="G57" s="29"/>
      <c r="H57" s="29"/>
      <c r="I57" s="29"/>
      <c r="J57" s="29"/>
      <c r="K57" s="29"/>
      <c r="L57" s="29"/>
      <c r="M57" s="110"/>
      <c r="N57" s="110"/>
      <c r="O57" s="110"/>
      <c r="P57" s="110"/>
      <c r="Q57" s="110"/>
      <c r="R57" s="110"/>
      <c r="S57" s="110"/>
      <c r="T57" s="110"/>
      <c r="U57" s="110"/>
    </row>
    <row r="58" spans="1:21" ht="16.5" thickBot="1">
      <c r="A58" s="29"/>
      <c r="B58" s="29"/>
      <c r="C58" s="29"/>
      <c r="D58" s="125" t="s">
        <v>98</v>
      </c>
      <c r="E58" s="126"/>
      <c r="F58" s="126"/>
      <c r="G58" s="126"/>
      <c r="H58" s="126"/>
      <c r="I58" s="126"/>
      <c r="J58" s="126"/>
      <c r="K58" s="138">
        <f>K22-K56</f>
        <v>3246.155720401177</v>
      </c>
      <c r="L58" s="29"/>
      <c r="M58" s="110"/>
      <c r="N58" s="110"/>
      <c r="O58" s="110"/>
      <c r="P58" s="110"/>
      <c r="Q58" s="110"/>
      <c r="R58" s="110"/>
      <c r="S58" s="110"/>
      <c r="T58" s="110"/>
      <c r="U58" s="110"/>
    </row>
    <row r="59" spans="1:21" ht="15.75">
      <c r="A59" s="29"/>
      <c r="B59" s="29"/>
      <c r="C59" s="29"/>
      <c r="D59" s="139"/>
      <c r="E59" s="139"/>
      <c r="F59" s="139"/>
      <c r="G59" s="140"/>
      <c r="H59" s="140"/>
      <c r="I59" s="141" t="s">
        <v>99</v>
      </c>
      <c r="J59" s="139" t="s">
        <v>100</v>
      </c>
      <c r="K59" s="142">
        <f>K58/D6</f>
        <v>7.2136793786692825</v>
      </c>
      <c r="L59" s="29"/>
      <c r="M59" s="110"/>
      <c r="N59" s="110"/>
      <c r="O59" s="110"/>
      <c r="P59" s="110"/>
      <c r="Q59" s="110"/>
      <c r="R59" s="110"/>
      <c r="S59" s="110"/>
      <c r="T59" s="110"/>
      <c r="U59" s="110"/>
    </row>
    <row r="60" spans="1:21" ht="5.25" customHeight="1">
      <c r="A60" s="29"/>
      <c r="B60" s="29"/>
      <c r="C60" s="29"/>
      <c r="D60" s="139"/>
      <c r="E60" s="139"/>
      <c r="F60" s="139"/>
      <c r="G60" s="139"/>
      <c r="H60" s="139"/>
      <c r="I60" s="139"/>
      <c r="J60" s="139"/>
      <c r="K60" s="143"/>
      <c r="L60" s="29"/>
      <c r="M60" s="110"/>
      <c r="N60" s="110"/>
      <c r="O60" s="110"/>
      <c r="P60" s="110"/>
      <c r="Q60" s="110"/>
      <c r="R60" s="110"/>
      <c r="S60" s="110"/>
      <c r="T60" s="110"/>
      <c r="U60" s="110"/>
    </row>
    <row r="61" spans="1:21" ht="15.75">
      <c r="A61" s="29"/>
      <c r="B61" s="29"/>
      <c r="C61" s="144" t="s">
        <v>101</v>
      </c>
      <c r="D61" s="144"/>
      <c r="E61" s="144"/>
      <c r="F61" s="139"/>
      <c r="G61" s="144" t="s">
        <v>102</v>
      </c>
      <c r="H61" s="145"/>
      <c r="I61" s="146">
        <v>0.95</v>
      </c>
      <c r="J61" s="147" t="s">
        <v>103</v>
      </c>
      <c r="K61" s="142">
        <f>((I61*$I$19*$E$19)+SUM($K$20:$K$20)-$K$56)/$D$6</f>
        <v>-1.6513206213307179</v>
      </c>
      <c r="L61" s="29"/>
      <c r="M61" s="110"/>
      <c r="N61" s="110"/>
      <c r="O61" s="110"/>
      <c r="P61" s="110"/>
      <c r="Q61" s="110"/>
      <c r="R61" s="110"/>
      <c r="S61" s="110"/>
      <c r="T61" s="110"/>
      <c r="U61" s="110"/>
    </row>
    <row r="62" spans="1:21" ht="15.75">
      <c r="A62" s="29"/>
      <c r="B62" s="29"/>
      <c r="C62" s="29"/>
      <c r="D62" s="139"/>
      <c r="E62" s="139"/>
      <c r="F62" s="139"/>
      <c r="G62" s="139"/>
      <c r="H62" s="29"/>
      <c r="I62" s="146">
        <v>1.1</v>
      </c>
      <c r="J62" s="147" t="s">
        <v>103</v>
      </c>
      <c r="K62" s="142">
        <f>((I62*$I$19*$E$19)+SUM($K$20:$K$20)-$K$56)/$D$6</f>
        <v>11.646179378669299</v>
      </c>
      <c r="L62" s="29"/>
      <c r="M62" s="110"/>
      <c r="N62" s="110"/>
      <c r="O62" s="110"/>
      <c r="P62" s="110"/>
      <c r="Q62" s="110"/>
      <c r="R62" s="110"/>
      <c r="S62" s="110"/>
      <c r="T62" s="110"/>
      <c r="U62" s="110"/>
    </row>
    <row r="63" spans="1:21" ht="13.5" customHeight="1">
      <c r="A63" s="29"/>
      <c r="B63" s="29"/>
      <c r="C63" s="29"/>
      <c r="D63" s="33"/>
      <c r="E63" s="29"/>
      <c r="F63" s="29"/>
      <c r="G63" s="29"/>
      <c r="H63" s="29"/>
      <c r="I63" s="148">
        <v>1.35</v>
      </c>
      <c r="J63" s="147" t="s">
        <v>103</v>
      </c>
      <c r="K63" s="142">
        <f>((I63*$I$19*$E$19)+SUM($K$20:$K$20)-$K$56)/$D$6</f>
        <v>33.8086793786693</v>
      </c>
      <c r="L63" s="29"/>
      <c r="M63" s="110"/>
      <c r="N63" s="110"/>
      <c r="O63" s="110"/>
      <c r="P63" s="110"/>
      <c r="Q63" s="110"/>
      <c r="R63" s="110"/>
      <c r="S63" s="110"/>
      <c r="T63" s="110"/>
      <c r="U63" s="110"/>
    </row>
    <row r="64" spans="1:21" ht="5.25" customHeight="1">
      <c r="A64" s="29"/>
      <c r="B64" s="29"/>
      <c r="C64" s="144"/>
      <c r="D64" s="144"/>
      <c r="E64" s="144"/>
      <c r="F64" s="29"/>
      <c r="G64" s="29"/>
      <c r="H64" s="29"/>
      <c r="I64" s="29"/>
      <c r="J64" s="29"/>
      <c r="K64" s="149"/>
      <c r="L64" s="29"/>
      <c r="M64" s="110"/>
      <c r="N64" s="110"/>
      <c r="O64" s="110"/>
      <c r="P64" s="110"/>
      <c r="Q64" s="110"/>
      <c r="R64" s="110"/>
      <c r="S64" s="110"/>
      <c r="T64" s="110"/>
      <c r="U64" s="110"/>
    </row>
    <row r="65" spans="1:21" ht="17.25" customHeight="1">
      <c r="A65" s="29"/>
      <c r="B65" s="29"/>
      <c r="C65" s="144" t="s">
        <v>133</v>
      </c>
      <c r="D65" s="144"/>
      <c r="E65" s="144"/>
      <c r="F65" s="150">
        <f>(K56-K25-K46-K47-K48)/(I19*H7)</f>
        <v>0.4779647968053083</v>
      </c>
      <c r="G65" s="29"/>
      <c r="H65" s="29"/>
      <c r="I65" s="29"/>
      <c r="J65" s="29"/>
      <c r="K65" s="149"/>
      <c r="L65" s="29"/>
      <c r="M65" s="110"/>
      <c r="N65" s="110"/>
      <c r="O65" s="110"/>
      <c r="P65" s="110"/>
      <c r="Q65" s="110"/>
      <c r="R65" s="110"/>
      <c r="S65" s="110"/>
      <c r="T65" s="110"/>
      <c r="U65" s="110"/>
    </row>
    <row r="66" spans="1:21" ht="2.25" customHeight="1">
      <c r="A66" s="29"/>
      <c r="B66" s="29"/>
      <c r="C66" s="151"/>
      <c r="D66" s="151"/>
      <c r="E66" s="151"/>
      <c r="F66" s="29"/>
      <c r="G66" s="29"/>
      <c r="H66" s="29"/>
      <c r="I66" s="29"/>
      <c r="J66" s="29"/>
      <c r="K66" s="149"/>
      <c r="L66" s="29"/>
      <c r="M66" s="110"/>
      <c r="N66" s="110"/>
      <c r="O66" s="110"/>
      <c r="P66" s="110"/>
      <c r="Q66" s="110"/>
      <c r="R66" s="110"/>
      <c r="S66" s="110"/>
      <c r="T66" s="110"/>
      <c r="U66" s="110"/>
    </row>
    <row r="67" spans="1:21" ht="13.5" customHeight="1">
      <c r="A67" s="152" t="s">
        <v>134</v>
      </c>
      <c r="B67" s="152"/>
      <c r="C67" s="152"/>
      <c r="D67" s="152"/>
      <c r="E67" s="152"/>
      <c r="F67" s="152"/>
      <c r="G67" s="29"/>
      <c r="H67" s="29"/>
      <c r="I67" s="29"/>
      <c r="J67" s="29"/>
      <c r="K67" s="29"/>
      <c r="L67" s="29"/>
      <c r="M67" s="110"/>
      <c r="N67" s="110"/>
      <c r="O67" s="110"/>
      <c r="P67" s="110"/>
      <c r="Q67" s="110"/>
      <c r="R67" s="110"/>
      <c r="S67" s="110"/>
      <c r="T67" s="110"/>
      <c r="U67" s="110"/>
    </row>
    <row r="68" spans="1:21" ht="13.5" customHeight="1">
      <c r="A68" s="152" t="s">
        <v>135</v>
      </c>
      <c r="B68" s="152"/>
      <c r="C68" s="152"/>
      <c r="D68" s="152"/>
      <c r="E68" s="152"/>
      <c r="F68" s="152"/>
      <c r="G68" s="152"/>
      <c r="H68" s="152"/>
      <c r="I68" s="152"/>
      <c r="J68" s="152"/>
      <c r="K68" s="29"/>
      <c r="L68" s="29"/>
      <c r="M68" s="110"/>
      <c r="N68" s="110"/>
      <c r="O68" s="110"/>
      <c r="P68" s="110"/>
      <c r="Q68" s="110"/>
      <c r="R68" s="110"/>
      <c r="S68" s="110"/>
      <c r="T68" s="110"/>
      <c r="U68" s="110"/>
    </row>
    <row r="69" spans="1:21" ht="13.5" customHeight="1">
      <c r="A69" s="152" t="s">
        <v>136</v>
      </c>
      <c r="B69" s="152"/>
      <c r="C69" s="152"/>
      <c r="D69" s="152"/>
      <c r="E69" s="152"/>
      <c r="F69" s="152"/>
      <c r="G69" s="29"/>
      <c r="H69" s="29"/>
      <c r="I69" s="29"/>
      <c r="J69" s="29"/>
      <c r="K69" s="29"/>
      <c r="L69" s="29"/>
      <c r="M69" s="110"/>
      <c r="N69" s="110"/>
      <c r="O69" s="110"/>
      <c r="P69" s="110"/>
      <c r="Q69" s="110"/>
      <c r="R69" s="110"/>
      <c r="S69" s="110"/>
      <c r="T69" s="110"/>
      <c r="U69" s="110"/>
    </row>
    <row r="70" spans="1:21" ht="13.5" customHeight="1">
      <c r="A70" s="152" t="s">
        <v>137</v>
      </c>
      <c r="B70" s="152"/>
      <c r="C70" s="152"/>
      <c r="D70" s="152"/>
      <c r="E70" s="152"/>
      <c r="F70" s="152"/>
      <c r="G70" s="29"/>
      <c r="H70" s="29"/>
      <c r="I70" s="29"/>
      <c r="J70" s="29"/>
      <c r="K70" s="29"/>
      <c r="L70" s="29"/>
      <c r="M70" s="110"/>
      <c r="N70" s="110"/>
      <c r="O70" s="110"/>
      <c r="P70" s="110"/>
      <c r="Q70" s="110"/>
      <c r="R70" s="110"/>
      <c r="S70" s="110"/>
      <c r="T70" s="110"/>
      <c r="U70" s="110"/>
    </row>
    <row r="71" spans="1:21" ht="15.75" customHeight="1">
      <c r="A71" s="152" t="s">
        <v>138</v>
      </c>
      <c r="B71" s="152"/>
      <c r="C71" s="152"/>
      <c r="D71" s="152"/>
      <c r="E71" s="152"/>
      <c r="F71" s="152"/>
      <c r="G71" s="152"/>
      <c r="H71" s="152"/>
      <c r="I71" s="152"/>
      <c r="J71" s="152"/>
      <c r="K71" s="29"/>
      <c r="L71" s="29"/>
      <c r="M71" s="110"/>
      <c r="N71" s="110"/>
      <c r="O71" s="110"/>
      <c r="P71" s="110"/>
      <c r="Q71" s="110"/>
      <c r="R71" s="110"/>
      <c r="S71" s="110"/>
      <c r="T71" s="110"/>
      <c r="U71" s="110"/>
    </row>
    <row r="72" spans="1:21" ht="15.75" customHeight="1">
      <c r="A72" s="152" t="s">
        <v>139</v>
      </c>
      <c r="B72" s="152"/>
      <c r="C72" s="152"/>
      <c r="D72" s="152"/>
      <c r="E72" s="152"/>
      <c r="F72" s="152"/>
      <c r="G72" s="152"/>
      <c r="H72" s="152"/>
      <c r="I72" s="152"/>
      <c r="J72" s="152"/>
      <c r="K72" s="152"/>
      <c r="L72" s="29"/>
      <c r="M72" s="110"/>
      <c r="N72" s="110"/>
      <c r="O72" s="110"/>
      <c r="P72" s="110"/>
      <c r="Q72" s="110"/>
      <c r="R72" s="110"/>
      <c r="S72" s="110"/>
      <c r="T72" s="110"/>
      <c r="U72" s="110"/>
    </row>
    <row r="73" spans="1:21" ht="15.75" customHeight="1">
      <c r="A73" s="153"/>
      <c r="B73" s="153"/>
      <c r="C73" s="153"/>
      <c r="D73" s="153"/>
      <c r="E73" s="153"/>
      <c r="F73" s="153"/>
      <c r="G73" s="153"/>
      <c r="H73" s="153"/>
      <c r="I73" s="153"/>
      <c r="J73" s="153"/>
      <c r="K73" s="29"/>
      <c r="L73" s="29"/>
      <c r="M73" s="110"/>
      <c r="N73" s="110"/>
      <c r="O73" s="110"/>
      <c r="P73" s="110"/>
      <c r="Q73" s="110"/>
      <c r="R73" s="110"/>
      <c r="S73" s="110"/>
      <c r="T73" s="110"/>
      <c r="U73" s="110"/>
    </row>
    <row r="74" spans="1:21" ht="13.5" customHeight="1">
      <c r="A74" s="29"/>
      <c r="B74" s="29"/>
      <c r="C74" s="29"/>
      <c r="D74" s="33"/>
      <c r="E74" s="29"/>
      <c r="F74" s="29"/>
      <c r="G74" s="29"/>
      <c r="H74" s="29"/>
      <c r="I74" s="29"/>
      <c r="J74" s="29"/>
      <c r="K74" s="29"/>
      <c r="L74" s="29"/>
      <c r="M74" s="110"/>
      <c r="N74" s="110"/>
      <c r="O74" s="110"/>
      <c r="P74" s="110"/>
      <c r="Q74" s="110"/>
      <c r="R74" s="110"/>
      <c r="S74" s="110"/>
      <c r="T74" s="110"/>
      <c r="U74" s="110"/>
    </row>
    <row r="75" spans="1:21" ht="15.75">
      <c r="A75" s="29"/>
      <c r="B75" s="29"/>
      <c r="C75" s="29"/>
      <c r="D75" s="154" t="s">
        <v>104</v>
      </c>
      <c r="E75" s="155"/>
      <c r="F75" s="155"/>
      <c r="G75" s="155"/>
      <c r="H75" s="156"/>
      <c r="I75" s="29"/>
      <c r="J75" s="29"/>
      <c r="K75" s="29"/>
      <c r="L75" s="29"/>
      <c r="M75" s="110"/>
      <c r="N75" s="110"/>
      <c r="O75" s="110"/>
      <c r="P75" s="110"/>
      <c r="Q75" s="110"/>
      <c r="R75" s="110"/>
      <c r="S75" s="110"/>
      <c r="T75" s="110"/>
      <c r="U75" s="110"/>
    </row>
    <row r="76" spans="1:21" ht="12" customHeight="1">
      <c r="A76" s="29"/>
      <c r="B76" s="29"/>
      <c r="C76" s="29"/>
      <c r="D76" s="157" t="s">
        <v>105</v>
      </c>
      <c r="E76" s="158"/>
      <c r="F76" s="158"/>
      <c r="G76" s="158"/>
      <c r="H76" s="159"/>
      <c r="I76" s="29"/>
      <c r="J76" s="29"/>
      <c r="K76" s="29"/>
      <c r="L76" s="29"/>
      <c r="M76" s="110"/>
      <c r="N76" s="110"/>
      <c r="O76" s="110"/>
      <c r="P76" s="110"/>
      <c r="Q76" s="110"/>
      <c r="R76" s="110"/>
      <c r="S76" s="110"/>
      <c r="T76" s="110"/>
      <c r="U76" s="110"/>
    </row>
    <row r="77" spans="1:21" ht="15">
      <c r="A77" s="29"/>
      <c r="B77" s="29"/>
      <c r="C77" s="29"/>
      <c r="D77" s="157" t="s">
        <v>106</v>
      </c>
      <c r="E77" s="158"/>
      <c r="F77" s="158"/>
      <c r="G77" s="160"/>
      <c r="H77" s="161"/>
      <c r="I77" s="29"/>
      <c r="J77" s="29"/>
      <c r="K77" s="29"/>
      <c r="L77" s="29"/>
      <c r="M77" s="110"/>
      <c r="N77" s="110"/>
      <c r="O77" s="110"/>
      <c r="P77" s="110"/>
      <c r="Q77" s="110"/>
      <c r="R77" s="110"/>
      <c r="S77" s="110"/>
      <c r="T77" s="110"/>
      <c r="U77" s="110"/>
    </row>
    <row r="78" spans="1:21" ht="15.75">
      <c r="A78" s="29"/>
      <c r="B78" s="29"/>
      <c r="C78" s="29"/>
      <c r="D78" s="162">
        <v>0.05</v>
      </c>
      <c r="E78" s="163" t="s">
        <v>107</v>
      </c>
      <c r="F78" s="164"/>
      <c r="G78" s="164"/>
      <c r="H78" s="161"/>
      <c r="I78" s="29"/>
      <c r="J78" s="29"/>
      <c r="K78" s="29"/>
      <c r="L78" s="29"/>
      <c r="M78" s="110"/>
      <c r="N78" s="110"/>
      <c r="O78" s="110"/>
      <c r="P78" s="110"/>
      <c r="Q78" s="110"/>
      <c r="R78" s="110"/>
      <c r="S78" s="110"/>
      <c r="T78" s="110"/>
      <c r="U78" s="110"/>
    </row>
    <row r="79" spans="1:21" ht="15.75">
      <c r="A79" s="29"/>
      <c r="B79" s="29"/>
      <c r="C79" s="29"/>
      <c r="D79" s="162">
        <v>0</v>
      </c>
      <c r="E79" s="163" t="s">
        <v>108</v>
      </c>
      <c r="F79" s="164"/>
      <c r="G79" s="164"/>
      <c r="H79" s="161"/>
      <c r="I79" s="29"/>
      <c r="J79" s="29"/>
      <c r="K79" s="29"/>
      <c r="L79" s="29"/>
      <c r="M79" s="110"/>
      <c r="N79" s="110"/>
      <c r="O79" s="110"/>
      <c r="P79" s="110"/>
      <c r="Q79" s="110"/>
      <c r="R79" s="110"/>
      <c r="S79" s="110"/>
      <c r="T79" s="110"/>
      <c r="U79" s="110"/>
    </row>
    <row r="80" spans="1:21" ht="15.75">
      <c r="A80" s="29"/>
      <c r="B80" s="29"/>
      <c r="C80" s="29"/>
      <c r="D80" s="162">
        <v>0.8497</v>
      </c>
      <c r="E80" s="163" t="s">
        <v>109</v>
      </c>
      <c r="F80" s="164"/>
      <c r="G80" s="164"/>
      <c r="H80" s="161"/>
      <c r="I80" s="29"/>
      <c r="J80" s="29"/>
      <c r="K80" s="29"/>
      <c r="L80" s="29"/>
      <c r="M80" s="110"/>
      <c r="N80" s="110"/>
      <c r="O80" s="110"/>
      <c r="P80" s="110"/>
      <c r="Q80" s="110"/>
      <c r="R80" s="110"/>
      <c r="S80" s="110"/>
      <c r="T80" s="110"/>
      <c r="U80" s="110"/>
    </row>
    <row r="81" spans="1:21" ht="15.75">
      <c r="A81" s="29"/>
      <c r="B81" s="29"/>
      <c r="C81" s="29"/>
      <c r="D81" s="162">
        <v>0</v>
      </c>
      <c r="E81" s="163" t="s">
        <v>110</v>
      </c>
      <c r="F81" s="164"/>
      <c r="G81" s="164"/>
      <c r="H81" s="161"/>
      <c r="I81" s="29"/>
      <c r="J81" s="29"/>
      <c r="K81" s="29"/>
      <c r="L81" s="29"/>
      <c r="M81" s="110"/>
      <c r="N81" s="110"/>
      <c r="O81" s="110"/>
      <c r="P81" s="110"/>
      <c r="Q81" s="110"/>
      <c r="R81" s="110"/>
      <c r="S81" s="110"/>
      <c r="T81" s="110"/>
      <c r="U81" s="110"/>
    </row>
    <row r="82" spans="1:21" ht="15.75">
      <c r="A82" s="29"/>
      <c r="B82" s="29"/>
      <c r="C82" s="29"/>
      <c r="D82" s="162">
        <v>0.1</v>
      </c>
      <c r="E82" s="163" t="s">
        <v>111</v>
      </c>
      <c r="F82" s="164"/>
      <c r="G82" s="164"/>
      <c r="H82" s="161"/>
      <c r="I82" s="29"/>
      <c r="J82" s="29"/>
      <c r="K82" s="29"/>
      <c r="L82" s="29"/>
      <c r="M82" s="110"/>
      <c r="N82" s="110"/>
      <c r="O82" s="110"/>
      <c r="P82" s="110"/>
      <c r="Q82" s="110"/>
      <c r="R82" s="110"/>
      <c r="S82" s="110"/>
      <c r="T82" s="110"/>
      <c r="U82" s="110"/>
    </row>
    <row r="83" spans="1:21" ht="15.75">
      <c r="A83" s="29"/>
      <c r="B83" s="29"/>
      <c r="C83" s="29"/>
      <c r="D83" s="162">
        <v>0</v>
      </c>
      <c r="E83" s="163" t="s">
        <v>112</v>
      </c>
      <c r="F83" s="164"/>
      <c r="G83" s="164"/>
      <c r="H83" s="161"/>
      <c r="I83" s="29"/>
      <c r="J83" s="29"/>
      <c r="K83" s="29"/>
      <c r="L83" s="29"/>
      <c r="M83" s="110"/>
      <c r="N83" s="110"/>
      <c r="O83" s="110"/>
      <c r="P83" s="110"/>
      <c r="Q83" s="110"/>
      <c r="R83" s="110"/>
      <c r="S83" s="110"/>
      <c r="T83" s="110"/>
      <c r="U83" s="110"/>
    </row>
    <row r="84" spans="1:21" ht="15.75">
      <c r="A84" s="29"/>
      <c r="B84" s="29"/>
      <c r="C84" s="29"/>
      <c r="D84" s="162">
        <v>0.0001</v>
      </c>
      <c r="E84" s="163" t="s">
        <v>113</v>
      </c>
      <c r="F84" s="164"/>
      <c r="G84" s="164"/>
      <c r="H84" s="161"/>
      <c r="I84" s="29"/>
      <c r="J84" s="29"/>
      <c r="K84" s="29"/>
      <c r="L84" s="29"/>
      <c r="M84" s="110"/>
      <c r="N84" s="110"/>
      <c r="O84" s="110"/>
      <c r="P84" s="110"/>
      <c r="Q84" s="110"/>
      <c r="R84" s="110"/>
      <c r="S84" s="110"/>
      <c r="T84" s="110"/>
      <c r="U84" s="110"/>
    </row>
    <row r="85" spans="1:21" ht="15.75">
      <c r="A85" s="29"/>
      <c r="B85" s="29"/>
      <c r="C85" s="29"/>
      <c r="D85" s="162">
        <v>0.0002</v>
      </c>
      <c r="E85" s="163" t="s">
        <v>114</v>
      </c>
      <c r="F85" s="164"/>
      <c r="G85" s="164"/>
      <c r="H85" s="161"/>
      <c r="I85" s="29"/>
      <c r="J85" s="29"/>
      <c r="K85" s="29"/>
      <c r="L85" s="29"/>
      <c r="M85" s="110"/>
      <c r="N85" s="110"/>
      <c r="O85" s="110"/>
      <c r="P85" s="110"/>
      <c r="Q85" s="110"/>
      <c r="R85" s="110"/>
      <c r="S85" s="110"/>
      <c r="T85" s="110"/>
      <c r="U85" s="110"/>
    </row>
    <row r="86" spans="1:21" ht="15.75">
      <c r="A86" s="29"/>
      <c r="B86" s="29"/>
      <c r="C86" s="29"/>
      <c r="D86" s="165">
        <v>0</v>
      </c>
      <c r="E86" s="166" t="s">
        <v>115</v>
      </c>
      <c r="F86" s="164"/>
      <c r="G86" s="164"/>
      <c r="H86" s="161"/>
      <c r="I86" s="29"/>
      <c r="J86" s="29"/>
      <c r="K86" s="29"/>
      <c r="L86" s="29"/>
      <c r="M86" s="110"/>
      <c r="N86" s="110"/>
      <c r="O86" s="110"/>
      <c r="P86" s="110"/>
      <c r="Q86" s="110"/>
      <c r="R86" s="110"/>
      <c r="S86" s="110"/>
      <c r="T86" s="110"/>
      <c r="U86" s="110"/>
    </row>
    <row r="87" spans="1:21" ht="15">
      <c r="A87" s="29"/>
      <c r="B87" s="29"/>
      <c r="C87" s="29"/>
      <c r="D87" s="167">
        <f>SUM(D78:D86)</f>
        <v>1</v>
      </c>
      <c r="E87" s="168"/>
      <c r="F87" s="168"/>
      <c r="G87" s="168"/>
      <c r="H87" s="169"/>
      <c r="I87" s="29"/>
      <c r="J87" s="29"/>
      <c r="K87" s="29"/>
      <c r="L87" s="29"/>
      <c r="M87" s="110"/>
      <c r="N87" s="110"/>
      <c r="O87" s="110"/>
      <c r="P87" s="110"/>
      <c r="Q87" s="110"/>
      <c r="R87" s="110"/>
      <c r="S87" s="110"/>
      <c r="T87" s="110"/>
      <c r="U87" s="110"/>
    </row>
    <row r="88" spans="1:21" ht="15.75">
      <c r="A88" s="29"/>
      <c r="B88" s="29"/>
      <c r="C88" s="29"/>
      <c r="D88" s="33"/>
      <c r="E88" s="29"/>
      <c r="F88" s="29"/>
      <c r="G88" s="29"/>
      <c r="H88" s="29"/>
      <c r="I88" s="29"/>
      <c r="J88" s="29"/>
      <c r="K88" s="29"/>
      <c r="L88" s="29"/>
      <c r="M88" s="110"/>
      <c r="N88" s="110"/>
      <c r="O88" s="110"/>
      <c r="P88" s="110"/>
      <c r="Q88" s="110"/>
      <c r="R88" s="110"/>
      <c r="S88" s="110"/>
      <c r="T88" s="110"/>
      <c r="U88" s="110"/>
    </row>
    <row r="89" spans="1:21" ht="15.75">
      <c r="A89" s="29"/>
      <c r="B89" s="29"/>
      <c r="C89" s="29"/>
      <c r="D89" s="33"/>
      <c r="E89" s="29"/>
      <c r="F89" s="29"/>
      <c r="G89" s="29"/>
      <c r="H89" s="29"/>
      <c r="I89" s="29"/>
      <c r="J89" s="29"/>
      <c r="K89" s="29"/>
      <c r="L89" s="29"/>
      <c r="M89" s="110"/>
      <c r="N89" s="110"/>
      <c r="O89" s="110"/>
      <c r="P89" s="110"/>
      <c r="Q89" s="110"/>
      <c r="R89" s="110"/>
      <c r="S89" s="110"/>
      <c r="T89" s="110"/>
      <c r="U89" s="110"/>
    </row>
    <row r="90" spans="1:21" ht="15.75">
      <c r="A90" s="29"/>
      <c r="B90" s="29"/>
      <c r="C90" s="29"/>
      <c r="D90" s="33"/>
      <c r="E90" s="29"/>
      <c r="F90" s="29"/>
      <c r="G90" s="29"/>
      <c r="H90" s="29"/>
      <c r="I90" s="29"/>
      <c r="J90" s="29"/>
      <c r="K90" s="29"/>
      <c r="L90" s="29"/>
      <c r="M90" s="110"/>
      <c r="N90" s="110"/>
      <c r="O90" s="110"/>
      <c r="P90" s="110"/>
      <c r="Q90" s="110"/>
      <c r="R90" s="110"/>
      <c r="S90" s="110"/>
      <c r="T90" s="110"/>
      <c r="U90" s="110"/>
    </row>
    <row r="91" spans="1:21" ht="15.75">
      <c r="A91" s="170" t="s">
        <v>116</v>
      </c>
      <c r="B91" s="171"/>
      <c r="C91" s="171"/>
      <c r="D91" s="172"/>
      <c r="E91" s="171"/>
      <c r="F91" s="173"/>
      <c r="G91" s="171"/>
      <c r="H91" s="171"/>
      <c r="I91" s="174"/>
      <c r="J91" s="29"/>
      <c r="K91" s="29"/>
      <c r="L91" s="29"/>
      <c r="M91" s="110"/>
      <c r="N91" s="110"/>
      <c r="O91" s="110"/>
      <c r="P91" s="110"/>
      <c r="Q91" s="110"/>
      <c r="R91" s="110"/>
      <c r="S91" s="110"/>
      <c r="T91" s="110"/>
      <c r="U91" s="110"/>
    </row>
    <row r="92" spans="1:21" ht="15.75">
      <c r="A92" s="175"/>
      <c r="B92" s="57"/>
      <c r="C92" s="57"/>
      <c r="D92" s="176"/>
      <c r="E92" s="57"/>
      <c r="F92" s="177"/>
      <c r="G92" s="57"/>
      <c r="H92" s="57"/>
      <c r="I92" s="178"/>
      <c r="J92" s="29"/>
      <c r="K92" s="29"/>
      <c r="L92" s="29"/>
      <c r="M92" s="110"/>
      <c r="N92" s="110"/>
      <c r="O92" s="110"/>
      <c r="P92" s="110"/>
      <c r="Q92" s="110"/>
      <c r="R92" s="110"/>
      <c r="S92" s="110"/>
      <c r="T92" s="110"/>
      <c r="U92" s="110"/>
    </row>
    <row r="93" spans="1:21" ht="15.75">
      <c r="A93" s="179" t="s">
        <v>117</v>
      </c>
      <c r="B93" s="180"/>
      <c r="C93" s="57"/>
      <c r="D93" s="181"/>
      <c r="E93" s="57"/>
      <c r="F93" s="177">
        <f>D6</f>
        <v>450</v>
      </c>
      <c r="G93" s="57" t="s">
        <v>73</v>
      </c>
      <c r="H93" s="57"/>
      <c r="I93" s="178"/>
      <c r="J93" s="29"/>
      <c r="K93" s="29"/>
      <c r="L93" s="29"/>
      <c r="M93" s="110"/>
      <c r="N93" s="110"/>
      <c r="O93" s="110"/>
      <c r="P93" s="110"/>
      <c r="Q93" s="110"/>
      <c r="R93" s="110"/>
      <c r="S93" s="110"/>
      <c r="T93" s="110"/>
      <c r="U93" s="110"/>
    </row>
    <row r="94" spans="1:21" ht="15">
      <c r="A94" s="182" t="s">
        <v>118</v>
      </c>
      <c r="B94" s="183"/>
      <c r="C94" s="183"/>
      <c r="D94" s="184">
        <v>1</v>
      </c>
      <c r="E94" s="180" t="s">
        <v>119</v>
      </c>
      <c r="F94" s="185">
        <v>0.64</v>
      </c>
      <c r="G94" s="180" t="s">
        <v>120</v>
      </c>
      <c r="H94" s="57"/>
      <c r="I94" s="186">
        <f>D94*F94</f>
        <v>0.64</v>
      </c>
      <c r="J94" s="29"/>
      <c r="K94" s="29"/>
      <c r="L94" s="29"/>
      <c r="M94" s="110"/>
      <c r="N94" s="110"/>
      <c r="O94" s="110"/>
      <c r="P94" s="110"/>
      <c r="Q94" s="110"/>
      <c r="R94" s="110"/>
      <c r="S94" s="110"/>
      <c r="T94" s="110"/>
      <c r="U94" s="110"/>
    </row>
    <row r="95" spans="1:21" ht="15">
      <c r="A95" s="187" t="s">
        <v>121</v>
      </c>
      <c r="B95" s="188"/>
      <c r="C95" s="188"/>
      <c r="D95" s="184">
        <v>0</v>
      </c>
      <c r="E95" s="180" t="s">
        <v>119</v>
      </c>
      <c r="F95" s="185">
        <v>0.3</v>
      </c>
      <c r="G95" s="180" t="s">
        <v>120</v>
      </c>
      <c r="H95" s="57"/>
      <c r="I95" s="186">
        <f>D95*F95</f>
        <v>0</v>
      </c>
      <c r="J95" s="29"/>
      <c r="K95" s="29"/>
      <c r="L95" s="29"/>
      <c r="M95" s="110"/>
      <c r="N95" s="110"/>
      <c r="O95" s="110"/>
      <c r="P95" s="110"/>
      <c r="Q95" s="110"/>
      <c r="R95" s="110"/>
      <c r="S95" s="110"/>
      <c r="T95" s="110"/>
      <c r="U95" s="110"/>
    </row>
    <row r="96" spans="1:21" ht="15">
      <c r="A96" s="187" t="s">
        <v>122</v>
      </c>
      <c r="B96" s="188"/>
      <c r="C96" s="188"/>
      <c r="D96" s="184">
        <v>0.5</v>
      </c>
      <c r="E96" s="180" t="s">
        <v>119</v>
      </c>
      <c r="F96" s="185">
        <v>0.3</v>
      </c>
      <c r="G96" s="180" t="s">
        <v>120</v>
      </c>
      <c r="H96" s="57"/>
      <c r="I96" s="186">
        <f>D96*F96</f>
        <v>0.15</v>
      </c>
      <c r="J96" s="29"/>
      <c r="K96" s="29"/>
      <c r="L96" s="29"/>
      <c r="M96" s="110"/>
      <c r="N96" s="110"/>
      <c r="O96" s="110"/>
      <c r="P96" s="110"/>
      <c r="Q96" s="110"/>
      <c r="R96" s="110"/>
      <c r="S96" s="110"/>
      <c r="T96" s="110"/>
      <c r="U96" s="110"/>
    </row>
    <row r="97" spans="1:21" ht="15">
      <c r="A97" s="182" t="s">
        <v>115</v>
      </c>
      <c r="B97" s="183"/>
      <c r="C97" s="183"/>
      <c r="D97" s="184">
        <v>0</v>
      </c>
      <c r="E97" s="180" t="s">
        <v>119</v>
      </c>
      <c r="F97" s="185">
        <v>0</v>
      </c>
      <c r="G97" s="180" t="s">
        <v>120</v>
      </c>
      <c r="H97" s="57"/>
      <c r="I97" s="186">
        <f>D97*F97</f>
        <v>0</v>
      </c>
      <c r="J97" s="29"/>
      <c r="K97" s="29"/>
      <c r="L97" s="29"/>
      <c r="M97" s="110"/>
      <c r="N97" s="110"/>
      <c r="O97" s="110"/>
      <c r="P97" s="110"/>
      <c r="Q97" s="110"/>
      <c r="R97" s="110"/>
      <c r="S97" s="110"/>
      <c r="T97" s="110"/>
      <c r="U97" s="110"/>
    </row>
    <row r="98" spans="1:21" ht="15.75">
      <c r="A98" s="175"/>
      <c r="B98" s="57"/>
      <c r="C98" s="57"/>
      <c r="D98" s="57"/>
      <c r="E98" s="57"/>
      <c r="F98" s="57"/>
      <c r="G98" s="57"/>
      <c r="H98" s="57"/>
      <c r="I98" s="189">
        <f>SUM(I94:I97)</f>
        <v>0.79</v>
      </c>
      <c r="J98" s="29"/>
      <c r="K98" s="29"/>
      <c r="L98" s="29"/>
      <c r="M98" s="110"/>
      <c r="N98" s="110"/>
      <c r="O98" s="110"/>
      <c r="P98" s="110"/>
      <c r="Q98" s="110"/>
      <c r="R98" s="110"/>
      <c r="S98" s="110"/>
      <c r="T98" s="110"/>
      <c r="U98" s="110"/>
    </row>
    <row r="99" spans="1:21" ht="15">
      <c r="A99" s="175"/>
      <c r="B99" s="57"/>
      <c r="C99" s="57"/>
      <c r="D99" s="57"/>
      <c r="E99" s="57"/>
      <c r="F99" s="57"/>
      <c r="G99" s="57"/>
      <c r="H99" s="57"/>
      <c r="I99" s="178"/>
      <c r="J99" s="29"/>
      <c r="K99" s="29"/>
      <c r="L99" s="29"/>
      <c r="M99" s="110"/>
      <c r="N99" s="110"/>
      <c r="O99" s="110"/>
      <c r="P99" s="110"/>
      <c r="Q99" s="110"/>
      <c r="R99" s="110"/>
      <c r="S99" s="110"/>
      <c r="T99" s="110"/>
      <c r="U99" s="110"/>
    </row>
    <row r="100" spans="1:21" ht="15.75">
      <c r="A100" s="190"/>
      <c r="B100" s="191"/>
      <c r="C100" s="191"/>
      <c r="D100" s="192" t="s">
        <v>123</v>
      </c>
      <c r="E100" s="191"/>
      <c r="F100" s="191"/>
      <c r="G100" s="191"/>
      <c r="H100" s="193">
        <f>I98*F93</f>
        <v>355.5</v>
      </c>
      <c r="I100" s="194"/>
      <c r="J100" s="29"/>
      <c r="K100" s="29"/>
      <c r="L100" s="29"/>
      <c r="M100" s="110"/>
      <c r="N100" s="110"/>
      <c r="O100" s="110"/>
      <c r="P100" s="110"/>
      <c r="Q100" s="110"/>
      <c r="R100" s="110"/>
      <c r="S100" s="110"/>
      <c r="T100" s="110"/>
      <c r="U100" s="110"/>
    </row>
    <row r="101" spans="1:21" ht="15.75">
      <c r="A101" s="29"/>
      <c r="B101" s="29"/>
      <c r="C101" s="29"/>
      <c r="D101" s="33"/>
      <c r="E101" s="29"/>
      <c r="F101" s="29"/>
      <c r="G101" s="29"/>
      <c r="H101" s="29"/>
      <c r="I101" s="29"/>
      <c r="J101" s="29"/>
      <c r="K101" s="29"/>
      <c r="L101" s="29"/>
      <c r="M101" s="110"/>
      <c r="N101" s="110"/>
      <c r="O101" s="110"/>
      <c r="P101" s="110"/>
      <c r="Q101" s="110"/>
      <c r="R101" s="110"/>
      <c r="S101" s="110"/>
      <c r="T101" s="110"/>
      <c r="U101" s="110"/>
    </row>
  </sheetData>
  <sheetProtection/>
  <conditionalFormatting sqref="Q12:Q15">
    <cfRule type="cellIs" priority="1" dxfId="2" operator="lessThan" stopIfTrue="1">
      <formula>0</formula>
    </cfRule>
  </conditionalFormatting>
  <conditionalFormatting sqref="N20">
    <cfRule type="cellIs" priority="2" dxfId="1" operator="lessThan" stopIfTrue="1">
      <formula>0</formula>
    </cfRule>
  </conditionalFormatting>
  <conditionalFormatting sqref="N17:N18">
    <cfRule type="cellIs" priority="3" dxfId="0" operator="lessThan" stopIfTrue="1">
      <formula>0</formula>
    </cfRule>
  </conditionalFormatting>
  <printOptions/>
  <pageMargins left="0.2" right="0.25" top="0.5" bottom="0.5" header="0.5" footer="0.5"/>
  <pageSetup blackAndWhite="1" horizontalDpi="600" verticalDpi="600" orientation="portrait" scale="65" r:id="rId2"/>
  <rowBreaks count="1" manualBreakCount="1">
    <brk id="63" max="11" man="1"/>
  </rowBreaks>
  <colBreaks count="2" manualBreakCount="2">
    <brk id="12" min="1" max="99" man="1"/>
    <brk id="2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OMAFRA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Molenhuis</dc:creator>
  <cp:keywords/>
  <dc:description/>
  <cp:lastModifiedBy>Bauman, Jamie (OMAFRA)</cp:lastModifiedBy>
  <cp:lastPrinted>2003-10-28T16:39:39Z</cp:lastPrinted>
  <dcterms:created xsi:type="dcterms:W3CDTF">2003-10-28T16:38:23Z</dcterms:created>
  <dcterms:modified xsi:type="dcterms:W3CDTF">2015-12-02T19:11:29Z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