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ontariogov-my.sharepoint.com/personal/john_molenhuis_ontario_ca/Documents/Documents/Data/updatedbudgets/livestock/swine/2023/"/>
    </mc:Choice>
  </mc:AlternateContent>
  <xr:revisionPtr revIDLastSave="42" documentId="13_ncr:1_{C761DB3A-0385-4373-863C-B0AF1110567D}" xr6:coauthVersionLast="47" xr6:coauthVersionMax="47" xr10:uidLastSave="{1FB1CAD1-DE7D-4E6A-A988-952DF352A75D}"/>
  <bookViews>
    <workbookView xWindow="-103" yWindow="-103" windowWidth="22149" windowHeight="11949" xr2:uid="{00000000-000D-0000-FFFF-FFFF00000000}"/>
  </bookViews>
  <sheets>
    <sheet name="FARROW" sheetId="1" r:id="rId1"/>
  </sheets>
  <definedNames>
    <definedName name="_Key1" hidden="1">FARROW!$HW$39:$HW$42</definedName>
    <definedName name="_Order1" hidden="1">255</definedName>
    <definedName name="_Parse_In" hidden="1">FARROW!$H$114:$H$116</definedName>
    <definedName name="_Parse_Out" hidden="1">FARROW!$H$118</definedName>
    <definedName name="_Regression_Int" localSheetId="0" hidden="1">1</definedName>
    <definedName name="_Sort" hidden="1">FARROW!$HV$39:$IB$42</definedName>
    <definedName name="_Table2_In1" hidden="1">FARROW!$BA$49</definedName>
    <definedName name="_Table2_In2" hidden="1">FARROW!$BA$50</definedName>
    <definedName name="_Table2_Out" hidden="1">FARROW!$BB$15:$BJ$47</definedName>
    <definedName name="_xlnm.Print_Area" localSheetId="0">FARROW!$A$2:$W$163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8" i="1" l="1"/>
  <c r="D49" i="1" l="1"/>
  <c r="I148" i="1" s="1"/>
  <c r="E113" i="1"/>
  <c r="G62" i="1"/>
  <c r="G63" i="1"/>
  <c r="G64" i="1"/>
  <c r="E49" i="1"/>
  <c r="E48" i="1"/>
  <c r="H12" i="1"/>
  <c r="D7" i="1"/>
  <c r="H8" i="1" s="1"/>
  <c r="H22" i="1" s="1"/>
  <c r="I147" i="1"/>
  <c r="D36" i="1"/>
  <c r="F3" i="1" s="1"/>
  <c r="E50" i="1"/>
  <c r="H50" i="1" s="1"/>
  <c r="H23" i="1"/>
  <c r="D110" i="1"/>
  <c r="G59" i="1"/>
  <c r="E142" i="1" s="1"/>
  <c r="D118" i="1"/>
  <c r="G92" i="1"/>
  <c r="D106" i="1"/>
  <c r="D92" i="1"/>
  <c r="E76" i="1"/>
  <c r="G56" i="1" s="1"/>
  <c r="D59" i="1"/>
  <c r="A55" i="1"/>
  <c r="H24" i="1"/>
  <c r="H10" i="1"/>
  <c r="H9" i="1"/>
  <c r="H7" i="1"/>
  <c r="G106" i="1" l="1"/>
  <c r="G118" i="1"/>
  <c r="E147" i="1"/>
  <c r="E126" i="1"/>
  <c r="H49" i="1"/>
  <c r="G86" i="1"/>
  <c r="C147" i="1"/>
  <c r="H29" i="1"/>
  <c r="H16" i="1"/>
  <c r="H17" i="1" s="1"/>
  <c r="H13" i="1"/>
  <c r="H14" i="1" s="1"/>
  <c r="G47" i="1"/>
  <c r="H25" i="1" l="1"/>
  <c r="K23" i="1"/>
  <c r="H18" i="1"/>
  <c r="D48" i="1"/>
  <c r="H26" i="1"/>
  <c r="H19" i="1"/>
  <c r="F42" i="1"/>
  <c r="H27" i="1"/>
  <c r="G61" i="1"/>
  <c r="G111" i="1" l="1"/>
  <c r="H111" i="1" s="1"/>
  <c r="G119" i="1"/>
  <c r="H119" i="1" s="1"/>
  <c r="G109" i="1"/>
  <c r="H109" i="1" s="1"/>
  <c r="G122" i="1"/>
  <c r="H122" i="1" s="1"/>
  <c r="G120" i="1"/>
  <c r="H120" i="1" s="1"/>
  <c r="H48" i="1"/>
  <c r="D53" i="1"/>
  <c r="D76" i="1"/>
  <c r="I144" i="1"/>
  <c r="G55" i="1"/>
  <c r="G67" i="1"/>
  <c r="H67" i="1" s="1"/>
  <c r="G108" i="1"/>
  <c r="H108" i="1" s="1"/>
  <c r="G107" i="1"/>
  <c r="H107" i="1" s="1"/>
  <c r="G96" i="1"/>
  <c r="H96" i="1" s="1"/>
  <c r="H118" i="1"/>
  <c r="H92" i="1"/>
  <c r="H62" i="1"/>
  <c r="H64" i="1"/>
  <c r="G97" i="1"/>
  <c r="H97" i="1" s="1"/>
  <c r="G101" i="1"/>
  <c r="H101" i="1" s="1"/>
  <c r="G65" i="1"/>
  <c r="H65" i="1" s="1"/>
  <c r="G70" i="1"/>
  <c r="H70" i="1" s="1"/>
  <c r="G73" i="1"/>
  <c r="H73" i="1" s="1"/>
  <c r="H59" i="1"/>
  <c r="G51" i="1"/>
  <c r="G66" i="1"/>
  <c r="H66" i="1" s="1"/>
  <c r="H63" i="1"/>
  <c r="G98" i="1"/>
  <c r="H98" i="1" s="1"/>
  <c r="G68" i="1"/>
  <c r="H68" i="1" s="1"/>
  <c r="G72" i="1"/>
  <c r="H72" i="1" s="1"/>
  <c r="H106" i="1"/>
  <c r="G94" i="1"/>
  <c r="H94" i="1" s="1"/>
  <c r="G69" i="1"/>
  <c r="H69" i="1" s="1"/>
  <c r="G95" i="1"/>
  <c r="H95" i="1" s="1"/>
  <c r="H86" i="1"/>
  <c r="G121" i="1"/>
  <c r="G99" i="1"/>
  <c r="H99" i="1" s="1"/>
  <c r="G71" i="1"/>
  <c r="H71" i="1" s="1"/>
  <c r="G93" i="1"/>
  <c r="H93" i="1" s="1"/>
  <c r="G102" i="1"/>
  <c r="H102" i="1" s="1"/>
  <c r="G49" i="1"/>
  <c r="G110" i="1"/>
  <c r="H110" i="1" s="1"/>
  <c r="G50" i="1"/>
  <c r="G100" i="1"/>
  <c r="H100" i="1" s="1"/>
  <c r="K29" i="1" s="1"/>
  <c r="D27" i="1"/>
  <c r="H121" i="1" l="1"/>
  <c r="H124" i="1" s="1"/>
  <c r="G124" i="1"/>
  <c r="K28" i="1"/>
  <c r="I149" i="1"/>
  <c r="I150" i="1" s="1"/>
  <c r="K25" i="1"/>
  <c r="K27" i="1"/>
  <c r="K26" i="1"/>
  <c r="G80" i="1"/>
  <c r="H80" i="1" s="1"/>
  <c r="G87" i="1"/>
  <c r="H87" i="1" s="1"/>
  <c r="E92" i="1"/>
  <c r="G79" i="1"/>
  <c r="G89" i="1"/>
  <c r="H89" i="1" s="1"/>
  <c r="E59" i="1"/>
  <c r="G81" i="1"/>
  <c r="H81" i="1" s="1"/>
  <c r="G88" i="1"/>
  <c r="H88" i="1" s="1"/>
  <c r="H53" i="1"/>
  <c r="G48" i="1"/>
  <c r="G53" i="1" s="1"/>
  <c r="I151" i="1" l="1"/>
  <c r="K19" i="1"/>
  <c r="K17" i="1"/>
  <c r="F131" i="1"/>
  <c r="E131" i="1" s="1"/>
  <c r="K18" i="1"/>
  <c r="F127" i="1"/>
  <c r="G144" i="1" s="1"/>
  <c r="H144" i="1" s="1"/>
  <c r="H79" i="1"/>
  <c r="H83" i="1" s="1"/>
  <c r="K24" i="1"/>
  <c r="G83" i="1" l="1"/>
  <c r="J115" i="1"/>
  <c r="H113" i="1" s="1"/>
  <c r="G113" i="1" s="1"/>
  <c r="E127" i="1"/>
  <c r="G115" i="1" l="1"/>
  <c r="H115" i="1"/>
  <c r="I139" i="1" s="1"/>
  <c r="E139" i="1" s="1"/>
  <c r="F128" i="1" l="1"/>
  <c r="F130" i="1" s="1"/>
  <c r="F133" i="1" s="1"/>
  <c r="K16" i="1"/>
  <c r="E136" i="1"/>
  <c r="E137" i="1"/>
  <c r="E128" i="1" l="1"/>
  <c r="E130" i="1" s="1"/>
  <c r="E133" i="1" s="1"/>
  <c r="C153" i="1" s="1"/>
  <c r="H3" i="1" l="1"/>
  <c r="I153" i="1"/>
  <c r="I155" i="1" s="1"/>
  <c r="C151" i="1"/>
  <c r="C152" i="1"/>
  <c r="C150" i="1"/>
  <c r="C149" i="1"/>
  <c r="J153" i="1"/>
  <c r="J154" i="1" s="1"/>
  <c r="J155" i="1" l="1"/>
  <c r="J156" i="1" s="1"/>
  <c r="G142" i="1" s="1"/>
  <c r="I154" i="1"/>
  <c r="I156" i="1" s="1"/>
  <c r="G14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s>
  <commentList>
    <comment ref="E38" authorId="0" shapeId="0" xr:uid="{00000000-0006-0000-0000-000001000000}">
      <text>
        <r>
          <rPr>
            <b/>
            <sz val="8"/>
            <color indexed="81"/>
            <rFont val="Tahoma"/>
            <family val="2"/>
          </rPr>
          <t>The Optimistic estimate is what you would reasonably expect to be seen at least 1 out of every 6 years</t>
        </r>
        <r>
          <rPr>
            <sz val="8"/>
            <color indexed="81"/>
            <rFont val="Tahoma"/>
            <family val="2"/>
          </rPr>
          <t xml:space="preserve">
</t>
        </r>
      </text>
    </comment>
    <comment ref="F38" authorId="0" shapeId="0" xr:uid="{00000000-0006-0000-0000-000002000000}">
      <text>
        <r>
          <rPr>
            <b/>
            <sz val="8"/>
            <color indexed="81"/>
            <rFont val="Tahoma"/>
            <family val="2"/>
          </rPr>
          <t>The Expected outcome is the most likely outcome you expect this year</t>
        </r>
        <r>
          <rPr>
            <sz val="8"/>
            <color indexed="81"/>
            <rFont val="Tahoma"/>
            <family val="2"/>
          </rPr>
          <t xml:space="preserve">
</t>
        </r>
      </text>
    </comment>
    <comment ref="G38" authorId="0" shapeId="0" xr:uid="{00000000-0006-0000-0000-000003000000}">
      <text>
        <r>
          <rPr>
            <b/>
            <sz val="8"/>
            <color indexed="81"/>
            <rFont val="Tahoma"/>
            <family val="2"/>
          </rPr>
          <t xml:space="preserve">The Pessimistic expectation should be the poorest result your would reasonably expect to occur 1 out of every 6 years </t>
        </r>
        <r>
          <rPr>
            <sz val="8"/>
            <color indexed="81"/>
            <rFont val="Tahoma"/>
            <family val="2"/>
          </rPr>
          <t xml:space="preserve">
</t>
        </r>
      </text>
    </comment>
    <comment ref="D60" authorId="0" shapeId="0" xr:uid="{00000000-0006-0000-0000-000004000000}">
      <text>
        <r>
          <rPr>
            <b/>
            <sz val="8"/>
            <color indexed="81"/>
            <rFont val="Tahoma"/>
            <family val="2"/>
          </rPr>
          <t>If a number is entered in the $/feeder pig column,  numbers entered in $/Year column will be ignored by the budget</t>
        </r>
        <r>
          <rPr>
            <sz val="8"/>
            <color indexed="81"/>
            <rFont val="Tahoma"/>
            <family val="2"/>
          </rPr>
          <t xml:space="preserve">
</t>
        </r>
      </text>
    </comment>
    <comment ref="E60" authorId="0" shapeId="0" xr:uid="{00000000-0006-0000-0000-000005000000}">
      <text>
        <r>
          <rPr>
            <b/>
            <sz val="8"/>
            <color indexed="81"/>
            <rFont val="Tahoma"/>
            <family val="2"/>
          </rPr>
          <t>If a number is entered in the $/feeder pig column,  numbers entered in $/Year column will be ignored by the budget</t>
        </r>
        <r>
          <rPr>
            <sz val="8"/>
            <color indexed="81"/>
            <rFont val="Tahoma"/>
            <family val="2"/>
          </rPr>
          <t xml:space="preserve">
</t>
        </r>
      </text>
    </comment>
    <comment ref="D92" authorId="0" shapeId="0" xr:uid="{00000000-0006-0000-0000-000006000000}">
      <text>
        <r>
          <rPr>
            <b/>
            <sz val="8"/>
            <color indexed="81"/>
            <rFont val="Tahoma"/>
            <family val="2"/>
          </rPr>
          <t>If a number is entered in the $/feeder pig column,  numbers entered in $/Year column will be ignored by the budget</t>
        </r>
        <r>
          <rPr>
            <sz val="8"/>
            <color indexed="81"/>
            <rFont val="Tahoma"/>
            <family val="2"/>
          </rPr>
          <t xml:space="preserve">
</t>
        </r>
      </text>
    </comment>
    <comment ref="E92" authorId="0" shapeId="0" xr:uid="{00000000-0006-0000-0000-000007000000}">
      <text>
        <r>
          <rPr>
            <b/>
            <sz val="8"/>
            <color indexed="81"/>
            <rFont val="Tahoma"/>
            <family val="2"/>
          </rPr>
          <t>If a number is entered in the $/feeder pig column,  numbers entered in $/Year column will be ignored by the budget</t>
        </r>
        <r>
          <rPr>
            <sz val="8"/>
            <color indexed="81"/>
            <rFont val="Tahoma"/>
            <family val="2"/>
          </rPr>
          <t xml:space="preserve">
</t>
        </r>
      </text>
    </comment>
    <comment ref="D106" authorId="0" shapeId="0" xr:uid="{00000000-0006-0000-0000-000008000000}">
      <text>
        <r>
          <rPr>
            <b/>
            <sz val="8"/>
            <color indexed="81"/>
            <rFont val="Tahoma"/>
            <family val="2"/>
          </rPr>
          <t>If a number is entered in the $/feeder pig column,  numbers entered in $/Year column will be ignored by the budget</t>
        </r>
        <r>
          <rPr>
            <sz val="8"/>
            <color indexed="81"/>
            <rFont val="Tahoma"/>
            <family val="2"/>
          </rPr>
          <t xml:space="preserve">
</t>
        </r>
      </text>
    </comment>
    <comment ref="E106" authorId="0" shapeId="0" xr:uid="{00000000-0006-0000-0000-000009000000}">
      <text>
        <r>
          <rPr>
            <b/>
            <sz val="8"/>
            <color indexed="81"/>
            <rFont val="Tahoma"/>
            <family val="2"/>
          </rPr>
          <t>If a number is entered in the $/feeder pig column,  numbers entered in $/Year column will be ignored by the budget</t>
        </r>
        <r>
          <rPr>
            <sz val="8"/>
            <color indexed="81"/>
            <rFont val="Tahoma"/>
            <family val="2"/>
          </rPr>
          <t xml:space="preserve">
</t>
        </r>
      </text>
    </comment>
    <comment ref="D118" authorId="0" shapeId="0" xr:uid="{00000000-0006-0000-0000-00000A000000}">
      <text>
        <r>
          <rPr>
            <b/>
            <sz val="8"/>
            <color indexed="81"/>
            <rFont val="Tahoma"/>
            <family val="2"/>
          </rPr>
          <t>If a number is entered in the $/feeder pig column,  numbers entered in $/Year column will be ignored by the budget</t>
        </r>
        <r>
          <rPr>
            <sz val="8"/>
            <color indexed="81"/>
            <rFont val="Tahoma"/>
            <family val="2"/>
          </rPr>
          <t xml:space="preserve">
</t>
        </r>
      </text>
    </comment>
    <comment ref="E118" authorId="0" shapeId="0" xr:uid="{00000000-0006-0000-0000-00000B000000}">
      <text>
        <r>
          <rPr>
            <b/>
            <sz val="8"/>
            <color indexed="81"/>
            <rFont val="Tahoma"/>
            <family val="2"/>
          </rPr>
          <t>If a number is entered in the $/feeder pig column,  numbers entered in $/Year column will be ignored by the budget</t>
        </r>
        <r>
          <rPr>
            <sz val="8"/>
            <color indexed="81"/>
            <rFont val="Tahoma"/>
            <family val="2"/>
          </rPr>
          <t xml:space="preserve">
</t>
        </r>
      </text>
    </comment>
    <comment ref="C144" authorId="0" shapeId="0" xr:uid="{00000000-0006-0000-0000-00000C000000}">
      <text>
        <r>
          <rPr>
            <b/>
            <sz val="8"/>
            <color indexed="81"/>
            <rFont val="Tahoma"/>
            <family val="2"/>
          </rPr>
          <t>The coefficient of  variation is used as a indicator of the level of risk involved in this enterprise.  It measures the dollar of risk taken per dollar of expected return.   The larger the coefficient of variation, the greater the variability in the range of outcomes you will experience.  The smaller the coefficient of variation, the greater the likelihood of the outcome being close to the expected. 
Compare the coefficient of  variation of this enterprise with other enterprises; the enterprises with lower coefficient of  variation values have the lower risk.</t>
        </r>
        <r>
          <rPr>
            <sz val="8"/>
            <color indexed="81"/>
            <rFont val="Tahoma"/>
            <family val="2"/>
          </rPr>
          <t xml:space="preserve">
</t>
        </r>
      </text>
    </comment>
  </commentList>
</comments>
</file>

<file path=xl/sharedStrings.xml><?xml version="1.0" encoding="utf-8"?>
<sst xmlns="http://schemas.openxmlformats.org/spreadsheetml/2006/main" count="236" uniqueCount="201">
  <si>
    <t>Number of Sows</t>
  </si>
  <si>
    <t>Revised: July 94</t>
  </si>
  <si>
    <t>Number of Boars</t>
  </si>
  <si>
    <t>Litters per Year</t>
  </si>
  <si>
    <t xml:space="preserve">    Cycles/Sow/Year</t>
  </si>
  <si>
    <t>Days Nursing per Litter</t>
  </si>
  <si>
    <t xml:space="preserve">    % Farrowing Rate </t>
  </si>
  <si>
    <t>Days Crate Used/Farrowing</t>
  </si>
  <si>
    <t xml:space="preserve">    Litters per Week</t>
  </si>
  <si>
    <t>Days to Rebreed</t>
  </si>
  <si>
    <t xml:space="preserve">    Crates Required</t>
  </si>
  <si>
    <t>Pigs Born Alive per Litter</t>
  </si>
  <si>
    <t xml:space="preserve">    Pigs Weaned per Litter</t>
  </si>
  <si>
    <t xml:space="preserve">    Pigs Weaned per Year</t>
  </si>
  <si>
    <t>% Weaning Survival Rate</t>
  </si>
  <si>
    <t xml:space="preserve">    Pigs Weaned/Crate/Yr</t>
  </si>
  <si>
    <t>Days in Weaner Barn</t>
  </si>
  <si>
    <t>Expected Feeder Wt. - kg</t>
  </si>
  <si>
    <t xml:space="preserve">    Feeder Pigs per Litter</t>
  </si>
  <si>
    <t xml:space="preserve">    Feeder Pigs per Year</t>
  </si>
  <si>
    <t>Daily Feed Requirements:</t>
  </si>
  <si>
    <t xml:space="preserve">    Feeder Pigs/Sow/Year</t>
  </si>
  <si>
    <t>Dry sow - kg/sow/day</t>
  </si>
  <si>
    <t xml:space="preserve">    Kg Feeder pig produced</t>
  </si>
  <si>
    <t>Nursing sow - kg/sow/day</t>
  </si>
  <si>
    <t>Boar - kg/boar/day</t>
  </si>
  <si>
    <t xml:space="preserve">    Feed Required/Year (tonnes):</t>
  </si>
  <si>
    <t xml:space="preserve">    Dry Sow</t>
  </si>
  <si>
    <t>Lifetime Feed Requirements:</t>
  </si>
  <si>
    <t xml:space="preserve">    Nursing Sow</t>
  </si>
  <si>
    <t xml:space="preserve">    Boar</t>
  </si>
  <si>
    <t>Analysis:</t>
  </si>
  <si>
    <t xml:space="preserve">      (Use the same units for this and the variable cost sections)</t>
  </si>
  <si>
    <t xml:space="preserve">  Per feeder pig (Y or N)</t>
  </si>
  <si>
    <t>y</t>
  </si>
  <si>
    <t xml:space="preserve">  Per kg of feeder pig</t>
  </si>
  <si>
    <t>Optimistic</t>
  </si>
  <si>
    <t xml:space="preserve"> Expected</t>
  </si>
  <si>
    <t xml:space="preserve">   Pessimistic</t>
  </si>
  <si>
    <t>Feeder Pig Price</t>
  </si>
  <si>
    <t>Cull Sows</t>
  </si>
  <si>
    <t>$/sow</t>
  </si>
  <si>
    <t>Cull Boars</t>
  </si>
  <si>
    <t>$/boar</t>
  </si>
  <si>
    <t xml:space="preserve">Feeder Pigs Sold/Yr </t>
  </si>
  <si>
    <t>% of Expected</t>
  </si>
  <si>
    <t xml:space="preserve">    Expected</t>
  </si>
  <si>
    <t xml:space="preserve">  Revenue</t>
  </si>
  <si>
    <t>Revenue</t>
  </si>
  <si>
    <t>Pig Sales</t>
  </si>
  <si>
    <t>Head</t>
  </si>
  <si>
    <t xml:space="preserve">     Price</t>
  </si>
  <si>
    <t xml:space="preserve">  $/Year</t>
  </si>
  <si>
    <t xml:space="preserve">  Feeder Pigs Sold</t>
  </si>
  <si>
    <t xml:space="preserve">  Cull Sows</t>
  </si>
  <si>
    <t>$/hd</t>
  </si>
  <si>
    <t xml:space="preserve">  Cull Boars</t>
  </si>
  <si>
    <t>Other Sales</t>
  </si>
  <si>
    <t>-</t>
  </si>
  <si>
    <t>----</t>
  </si>
  <si>
    <t xml:space="preserve"> -------</t>
  </si>
  <si>
    <t>feeders</t>
  </si>
  <si>
    <t>**(Enter the herd size used to determine variable costs)</t>
  </si>
  <si>
    <t>EXPENSES</t>
  </si>
  <si>
    <t>Typical</t>
  </si>
  <si>
    <t>$/Year</t>
  </si>
  <si>
    <t>Variable Costs:</t>
  </si>
  <si>
    <t>--------</t>
  </si>
  <si>
    <t xml:space="preserve"> --------</t>
  </si>
  <si>
    <t xml:space="preserve"> Finisher</t>
  </si>
  <si>
    <t xml:space="preserve"> Dry Sow</t>
  </si>
  <si>
    <t xml:space="preserve"> Nursing Sow</t>
  </si>
  <si>
    <t xml:space="preserve"> Grain #1</t>
  </si>
  <si>
    <t xml:space="preserve"> Corn</t>
  </si>
  <si>
    <t xml:space="preserve">       #2</t>
  </si>
  <si>
    <t xml:space="preserve"> Barley</t>
  </si>
  <si>
    <t xml:space="preserve">       #3</t>
  </si>
  <si>
    <t xml:space="preserve"> </t>
  </si>
  <si>
    <t xml:space="preserve"> Protein Supplement</t>
  </si>
  <si>
    <t xml:space="preserve"> Premix</t>
  </si>
  <si>
    <t xml:space="preserve"> Other -</t>
  </si>
  <si>
    <t>Description</t>
  </si>
  <si>
    <t xml:space="preserve"> Homegrown Feed:  (from transfer table)</t>
  </si>
  <si>
    <t xml:space="preserve">  Crop Transfers (based on</t>
  </si>
  <si>
    <t xml:space="preserve"> *** (Input ONLY if NOT using Crop Transfer table) ***</t>
  </si>
  <si>
    <t>Corn</t>
  </si>
  <si>
    <t xml:space="preserve"> Total Feed Costs</t>
  </si>
  <si>
    <t>Livestock Purchases</t>
  </si>
  <si>
    <t>$/Head</t>
  </si>
  <si>
    <t xml:space="preserve">  Breeding Boars </t>
  </si>
  <si>
    <t xml:space="preserve">  Replacement Gilts</t>
  </si>
  <si>
    <t xml:space="preserve">  Other -</t>
  </si>
  <si>
    <t xml:space="preserve"> Description</t>
  </si>
  <si>
    <t xml:space="preserve"> Hired Labour</t>
  </si>
  <si>
    <t xml:space="preserve"> Veterinary &amp; Medicine</t>
  </si>
  <si>
    <t xml:space="preserve"> Breeding Costs &amp; Semen</t>
  </si>
  <si>
    <t xml:space="preserve"> Bedding</t>
  </si>
  <si>
    <t xml:space="preserve"> Marketing</t>
  </si>
  <si>
    <t xml:space="preserve"> Transportation</t>
  </si>
  <si>
    <t xml:space="preserve"> Barn Supplies</t>
  </si>
  <si>
    <t xml:space="preserve"> Custom Work</t>
  </si>
  <si>
    <t xml:space="preserve"> Equipment Rental</t>
  </si>
  <si>
    <t xml:space="preserve"> $ Allocated</t>
  </si>
  <si>
    <t xml:space="preserve"> Fuel</t>
  </si>
  <si>
    <t xml:space="preserve"> Mach. Repair &amp; Maint.</t>
  </si>
  <si>
    <t xml:space="preserve"> Bldg. Repair &amp; Maint.</t>
  </si>
  <si>
    <t xml:space="preserve"> General Variable Costs</t>
  </si>
  <si>
    <t>Interest on</t>
  </si>
  <si>
    <t>%int</t>
  </si>
  <si>
    <t>%year</t>
  </si>
  <si>
    <t>Operating Capital</t>
  </si>
  <si>
    <t xml:space="preserve">  --------</t>
  </si>
  <si>
    <t>Total Variable Costs</t>
  </si>
  <si>
    <t>Fixed Costs:</t>
  </si>
  <si>
    <t xml:space="preserve"> Depreciation</t>
  </si>
  <si>
    <t xml:space="preserve"> Interest on Term Loans</t>
  </si>
  <si>
    <t xml:space="preserve"> Long-term Leases</t>
  </si>
  <si>
    <t xml:space="preserve"> General Fixed Costs</t>
  </si>
  <si>
    <t>Total Fixed Costs</t>
  </si>
  <si>
    <t>Revenues:</t>
  </si>
  <si>
    <t>Total Expected Revenues</t>
  </si>
  <si>
    <t xml:space="preserve">    less: Variable Costs</t>
  </si>
  <si>
    <t xml:space="preserve">  ------</t>
  </si>
  <si>
    <t>Expected Operating Margin</t>
  </si>
  <si>
    <t xml:space="preserve">    less: Fixed Costs</t>
  </si>
  <si>
    <t>Expected Net Revenue</t>
  </si>
  <si>
    <t>Expected Break-even $/kg for:</t>
  </si>
  <si>
    <t>Feeder Pigs</t>
  </si>
  <si>
    <t>Variable Costs</t>
  </si>
  <si>
    <t>Fixed Costs</t>
  </si>
  <si>
    <t>Total Costs</t>
  </si>
  <si>
    <t>Chance of at least breaking even          ==&gt;</t>
  </si>
  <si>
    <t>Feeder</t>
  </si>
  <si>
    <t>Chance of at least</t>
  </si>
  <si>
    <t>return==&gt;</t>
  </si>
  <si>
    <t xml:space="preserve">  Returns</t>
  </si>
  <si>
    <t>Chances of at least</t>
  </si>
  <si>
    <t>C Gilts</t>
  </si>
  <si>
    <t>Feed Cst</t>
  </si>
  <si>
    <t>Sumstd</t>
  </si>
  <si>
    <t xml:space="preserve">       17 %</t>
  </si>
  <si>
    <t>Feederstd</t>
  </si>
  <si>
    <t xml:space="preserve">       33 %</t>
  </si>
  <si>
    <t xml:space="preserve">       50 %</t>
  </si>
  <si>
    <t>z</t>
  </si>
  <si>
    <t xml:space="preserve">       67 %</t>
  </si>
  <si>
    <t>v1</t>
  </si>
  <si>
    <t xml:space="preserve">       83 %</t>
  </si>
  <si>
    <t>v2</t>
  </si>
  <si>
    <t/>
  </si>
  <si>
    <t>Allo!C3..J14</t>
  </si>
  <si>
    <t>Tran!D3..G14</t>
  </si>
  <si>
    <t>Wfarm!L4</t>
  </si>
  <si>
    <t>Wfarm!L5</t>
  </si>
  <si>
    <t>Wfarm!L6</t>
  </si>
  <si>
    <t>Wfarm!L7</t>
  </si>
  <si>
    <t>Wfarm!L8</t>
  </si>
  <si>
    <t>Wfarm!L9</t>
  </si>
  <si>
    <t>Wfarm!K4</t>
  </si>
  <si>
    <t>Wfarm!K5</t>
  </si>
  <si>
    <t>Wfarm!K6</t>
  </si>
  <si>
    <t>Wfarm!K7</t>
  </si>
  <si>
    <t>REVENUE</t>
  </si>
  <si>
    <t xml:space="preserve">  Total Revenue</t>
  </si>
  <si>
    <t>What would be a normal plus/minus range for feed costs :</t>
  </si>
  <si>
    <t>Numbers in blue can be edited/changed for individual producers</t>
  </si>
  <si>
    <t>% Pre-Weaning Survival Rate</t>
  </si>
  <si>
    <t xml:space="preserve">    Nursery Phase #1</t>
  </si>
  <si>
    <t xml:space="preserve">    Nursery Phase #2</t>
  </si>
  <si>
    <t xml:space="preserve">    Nursery Phase #3</t>
  </si>
  <si>
    <t xml:space="preserve">    Feed/Sow - kg/sow</t>
  </si>
  <si>
    <t>$/pig</t>
  </si>
  <si>
    <t xml:space="preserve">    Nursery total - kg/pig</t>
  </si>
  <si>
    <t xml:space="preserve"> Nursery #1</t>
  </si>
  <si>
    <t xml:space="preserve"> Nursery #2</t>
  </si>
  <si>
    <t xml:space="preserve"> Nursery #3</t>
  </si>
  <si>
    <t>Manure disposal</t>
  </si>
  <si>
    <t xml:space="preserve"> Utilities (hydro, gas)</t>
  </si>
  <si>
    <t>kg/pig</t>
  </si>
  <si>
    <t>Nursery Phase #1</t>
  </si>
  <si>
    <t xml:space="preserve">Nursery Phase #2 </t>
  </si>
  <si>
    <t xml:space="preserve">Nursery Phase #3 </t>
  </si>
  <si>
    <t xml:space="preserve">The user of this worksheet assumes all responsibility. </t>
  </si>
  <si>
    <t>For more information:</t>
  </si>
  <si>
    <t>OMAFRA Agricultural Information Contact Centre</t>
  </si>
  <si>
    <t>1-877-424-1300</t>
  </si>
  <si>
    <t>Low Risk</t>
  </si>
  <si>
    <t>Moderate Risk</t>
  </si>
  <si>
    <t>High Risk</t>
  </si>
  <si>
    <t xml:space="preserve">Risk Indicator - </t>
  </si>
  <si>
    <t>Coefficient of variation:              ==&gt;</t>
  </si>
  <si>
    <t>Risk Factors</t>
  </si>
  <si>
    <t xml:space="preserve"> Feed:</t>
  </si>
  <si>
    <t xml:space="preserve"> Rent </t>
  </si>
  <si>
    <r>
      <t>FARROW-TO-FEEDER ENTERPRISE BUDGET</t>
    </r>
    <r>
      <rPr>
        <b/>
        <vertAlign val="superscript"/>
        <sz val="12"/>
        <rFont val="Arial"/>
        <family val="2"/>
      </rPr>
      <t>1</t>
    </r>
  </si>
  <si>
    <t>ag.info.omafra@ontario.ca</t>
  </si>
  <si>
    <t>This is a cost of production budgeting tool that has 1 worksheet. There are fields that can be completed by the user. It is up to 21 columns wide and 252 rows.</t>
  </si>
  <si>
    <t>Ontario Ministry of Agriculture, Food and Rural Affairs Website</t>
  </si>
  <si>
    <t>End of worksheet</t>
  </si>
  <si>
    <t>1. Based on Monthly Swine Budgets, developed by OMAFRA Swine Team</t>
  </si>
  <si>
    <t>Revised: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</si>
</sst>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quot;$&quot;#,##0_);\(&quot;$&quot;#,##0\)"/>
    <numFmt numFmtId="165" formatCode="&quot;$&quot;#,##0.00_);\(&quot;$&quot;#,##0.00\)"/>
    <numFmt numFmtId="166" formatCode=";;;"/>
    <numFmt numFmtId="167" formatCode="0.00_)"/>
    <numFmt numFmtId="168" formatCode="0_)"/>
    <numFmt numFmtId="169" formatCode="0.0_)"/>
    <numFmt numFmtId="170" formatCode="&quot;$&quot;#,##0.0000_);\(&quot;$&quot;#,##0.0000\)"/>
    <numFmt numFmtId="171" formatCode="0.000_)"/>
  </numFmts>
  <fonts count="19" x14ac:knownFonts="1">
    <font>
      <sz val="10"/>
      <name val="Courier"/>
    </font>
    <font>
      <sz val="8"/>
      <name val="Courier"/>
      <family val="3"/>
    </font>
    <font>
      <sz val="9"/>
      <name val="Arial"/>
      <family val="2"/>
    </font>
    <font>
      <b/>
      <sz val="9"/>
      <name val="Arial"/>
      <family val="2"/>
    </font>
    <font>
      <sz val="10"/>
      <name val="Arial"/>
      <family val="2"/>
    </font>
    <font>
      <b/>
      <sz val="10"/>
      <name val="Arial"/>
      <family val="2"/>
    </font>
    <font>
      <b/>
      <sz val="8"/>
      <color indexed="81"/>
      <name val="Tahoma"/>
      <family val="2"/>
    </font>
    <font>
      <sz val="8"/>
      <color indexed="81"/>
      <name val="Tahoma"/>
      <family val="2"/>
    </font>
    <font>
      <u/>
      <sz val="10"/>
      <color indexed="12"/>
      <name val="Courier"/>
      <family val="3"/>
    </font>
    <font>
      <b/>
      <sz val="12"/>
      <name val="Arial"/>
      <family val="2"/>
    </font>
    <font>
      <b/>
      <vertAlign val="superscript"/>
      <sz val="12"/>
      <name val="Arial"/>
      <family val="2"/>
    </font>
    <font>
      <b/>
      <sz val="12"/>
      <color indexed="12"/>
      <name val="Arial"/>
      <family val="2"/>
    </font>
    <font>
      <b/>
      <sz val="12"/>
      <color indexed="10"/>
      <name val="Arial"/>
      <family val="2"/>
    </font>
    <font>
      <sz val="12"/>
      <name val="Courier"/>
      <family val="3"/>
    </font>
    <font>
      <b/>
      <sz val="12"/>
      <color indexed="8"/>
      <name val="Arial"/>
      <family val="2"/>
    </font>
    <font>
      <u/>
      <sz val="12"/>
      <color indexed="12"/>
      <name val="Arial"/>
      <family val="2"/>
    </font>
    <font>
      <sz val="10"/>
      <name val="Courier"/>
      <family val="3"/>
    </font>
    <font>
      <sz val="12"/>
      <color indexed="12"/>
      <name val="Arial"/>
      <family val="2"/>
    </font>
    <font>
      <b/>
      <sz val="9"/>
      <color indexed="8"/>
      <name val="Arial"/>
      <family val="2"/>
    </font>
  </fonts>
  <fills count="6">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9"/>
        <bgColor indexed="42"/>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8" fillId="0" borderId="0" applyNumberFormat="0" applyFill="0" applyBorder="0" applyAlignment="0" applyProtection="0">
      <alignment vertical="top"/>
      <protection locked="0"/>
    </xf>
    <xf numFmtId="0" fontId="16" fillId="0" borderId="0"/>
    <xf numFmtId="0" fontId="16" fillId="0" borderId="0"/>
  </cellStyleXfs>
  <cellXfs count="168">
    <xf numFmtId="0" fontId="0" fillId="0" borderId="0" xfId="0"/>
    <xf numFmtId="0" fontId="2" fillId="0" borderId="0" xfId="0" applyFont="1" applyAlignment="1" applyProtection="1">
      <alignment horizontal="left"/>
    </xf>
    <xf numFmtId="0" fontId="2" fillId="0" borderId="0" xfId="0" applyFont="1"/>
    <xf numFmtId="166" fontId="2" fillId="0" borderId="0" xfId="0" applyNumberFormat="1" applyFont="1" applyProtection="1"/>
    <xf numFmtId="0" fontId="2" fillId="0" borderId="0" xfId="0" applyFont="1" applyProtection="1"/>
    <xf numFmtId="168" fontId="2" fillId="0" borderId="0" xfId="0" applyNumberFormat="1" applyFont="1" applyProtection="1"/>
    <xf numFmtId="37" fontId="2" fillId="0" borderId="0" xfId="0" applyNumberFormat="1" applyFont="1" applyProtection="1"/>
    <xf numFmtId="0" fontId="4" fillId="0" borderId="0" xfId="0" applyFont="1"/>
    <xf numFmtId="0" fontId="3" fillId="0" borderId="0" xfId="0" applyFont="1"/>
    <xf numFmtId="166" fontId="3" fillId="0" borderId="0" xfId="0" applyNumberFormat="1" applyFont="1" applyProtection="1"/>
    <xf numFmtId="0" fontId="3" fillId="0" borderId="0" xfId="0" applyFont="1" applyProtection="1"/>
    <xf numFmtId="167" fontId="3" fillId="0" borderId="0" xfId="0" applyNumberFormat="1" applyFont="1" applyProtection="1"/>
    <xf numFmtId="0" fontId="5" fillId="0" borderId="0" xfId="0" applyFont="1"/>
    <xf numFmtId="10" fontId="3" fillId="0" borderId="0" xfId="0" applyNumberFormat="1" applyFont="1" applyProtection="1"/>
    <xf numFmtId="164" fontId="2" fillId="0" borderId="0" xfId="0" applyNumberFormat="1" applyFont="1" applyProtection="1"/>
    <xf numFmtId="2" fontId="2" fillId="0" borderId="0" xfId="0" applyNumberFormat="1" applyFont="1" applyProtection="1"/>
    <xf numFmtId="0" fontId="9" fillId="2" borderId="1" xfId="0" applyFont="1" applyFill="1" applyBorder="1" applyAlignment="1" applyProtection="1">
      <alignment horizontal="left"/>
    </xf>
    <xf numFmtId="0" fontId="9" fillId="2" borderId="2" xfId="0" applyFont="1" applyFill="1" applyBorder="1"/>
    <xf numFmtId="0" fontId="9" fillId="2" borderId="2" xfId="0" applyFont="1" applyFill="1" applyBorder="1" applyAlignment="1" applyProtection="1">
      <alignment horizontal="left"/>
    </xf>
    <xf numFmtId="0" fontId="9" fillId="2" borderId="3" xfId="0" applyFont="1" applyFill="1" applyBorder="1"/>
    <xf numFmtId="166" fontId="9" fillId="2" borderId="6" xfId="0" applyNumberFormat="1" applyFont="1" applyFill="1" applyBorder="1" applyProtection="1"/>
    <xf numFmtId="0" fontId="9" fillId="2" borderId="7" xfId="0" applyFont="1" applyFill="1" applyBorder="1"/>
    <xf numFmtId="0" fontId="9" fillId="2" borderId="7" xfId="0" applyFont="1" applyFill="1" applyBorder="1" applyProtection="1"/>
    <xf numFmtId="165" fontId="9" fillId="2" borderId="7" xfId="0" applyNumberFormat="1" applyFont="1" applyFill="1" applyBorder="1" applyProtection="1"/>
    <xf numFmtId="165" fontId="9" fillId="2" borderId="8" xfId="0" applyNumberFormat="1" applyFont="1" applyFill="1" applyBorder="1" applyProtection="1"/>
    <xf numFmtId="0" fontId="11" fillId="4" borderId="4" xfId="0" applyFont="1" applyFill="1" applyBorder="1" applyAlignment="1" applyProtection="1">
      <alignment horizontal="left"/>
    </xf>
    <xf numFmtId="0" fontId="9" fillId="0" borderId="0" xfId="0" applyFont="1" applyFill="1" applyBorder="1"/>
    <xf numFmtId="0" fontId="9" fillId="0" borderId="0" xfId="0" applyFont="1" applyFill="1" applyBorder="1" applyProtection="1"/>
    <xf numFmtId="165" fontId="9" fillId="0" borderId="0" xfId="0" applyNumberFormat="1" applyFont="1" applyFill="1" applyBorder="1" applyProtection="1"/>
    <xf numFmtId="165" fontId="9" fillId="0" borderId="5" xfId="0" applyNumberFormat="1" applyFont="1" applyFill="1" applyBorder="1" applyProtection="1"/>
    <xf numFmtId="0" fontId="11" fillId="3" borderId="9" xfId="0" applyFont="1" applyFill="1" applyBorder="1" applyAlignment="1" applyProtection="1">
      <alignment horizontal="center"/>
      <protection locked="0"/>
    </xf>
    <xf numFmtId="166" fontId="9" fillId="2" borderId="2" xfId="0" applyNumberFormat="1" applyFont="1" applyFill="1" applyBorder="1" applyAlignment="1" applyProtection="1">
      <alignment horizontal="left"/>
    </xf>
    <xf numFmtId="0" fontId="9" fillId="2" borderId="4" xfId="0" applyFont="1" applyFill="1" applyBorder="1" applyAlignment="1" applyProtection="1">
      <alignment horizontal="left"/>
    </xf>
    <xf numFmtId="0" fontId="9" fillId="2" borderId="0" xfId="0" applyFont="1" applyFill="1" applyBorder="1"/>
    <xf numFmtId="0" fontId="9" fillId="2" borderId="0" xfId="0" applyFont="1" applyFill="1" applyBorder="1" applyProtection="1"/>
    <xf numFmtId="166" fontId="9" fillId="2" borderId="5" xfId="0" applyNumberFormat="1" applyFont="1" applyFill="1" applyBorder="1" applyProtection="1"/>
    <xf numFmtId="0" fontId="9" fillId="2" borderId="0" xfId="0" applyFont="1" applyFill="1" applyBorder="1" applyAlignment="1" applyProtection="1">
      <alignment horizontal="left"/>
    </xf>
    <xf numFmtId="167" fontId="9" fillId="2" borderId="5" xfId="0" applyNumberFormat="1" applyFont="1" applyFill="1" applyBorder="1" applyProtection="1"/>
    <xf numFmtId="168" fontId="9" fillId="2" borderId="5" xfId="0" applyNumberFormat="1" applyFont="1" applyFill="1" applyBorder="1" applyProtection="1"/>
    <xf numFmtId="168" fontId="9" fillId="2" borderId="0" xfId="0" applyNumberFormat="1" applyFont="1" applyFill="1" applyBorder="1" applyProtection="1"/>
    <xf numFmtId="169" fontId="9" fillId="2" borderId="5" xfId="0" applyNumberFormat="1" applyFont="1" applyFill="1" applyBorder="1" applyProtection="1"/>
    <xf numFmtId="0" fontId="9" fillId="2" borderId="4" xfId="0" applyFont="1" applyFill="1" applyBorder="1"/>
    <xf numFmtId="167" fontId="9" fillId="2" borderId="0" xfId="0" applyNumberFormat="1" applyFont="1" applyFill="1" applyBorder="1" applyProtection="1"/>
    <xf numFmtId="0" fontId="9" fillId="2" borderId="4" xfId="0" applyFont="1" applyFill="1" applyBorder="1" applyProtection="1"/>
    <xf numFmtId="170" fontId="9" fillId="2" borderId="0" xfId="0" applyNumberFormat="1" applyFont="1" applyFill="1" applyBorder="1" applyProtection="1"/>
    <xf numFmtId="169" fontId="9" fillId="2" borderId="0" xfId="0" applyNumberFormat="1" applyFont="1" applyFill="1" applyBorder="1" applyProtection="1"/>
    <xf numFmtId="0" fontId="9" fillId="2" borderId="5" xfId="0" applyFont="1" applyFill="1" applyBorder="1" applyProtection="1"/>
    <xf numFmtId="37" fontId="9" fillId="2" borderId="0" xfId="0" applyNumberFormat="1" applyFont="1" applyFill="1" applyBorder="1" applyProtection="1"/>
    <xf numFmtId="165" fontId="9" fillId="2" borderId="0" xfId="0" applyNumberFormat="1" applyFont="1" applyFill="1" applyBorder="1" applyProtection="1"/>
    <xf numFmtId="0" fontId="9" fillId="2" borderId="0" xfId="0" applyFont="1" applyFill="1" applyBorder="1" applyAlignment="1" applyProtection="1">
      <alignment horizontal="center"/>
    </xf>
    <xf numFmtId="167" fontId="9" fillId="2" borderId="2" xfId="0" applyNumberFormat="1" applyFont="1" applyFill="1" applyBorder="1" applyAlignment="1" applyProtection="1">
      <alignment horizontal="center"/>
    </xf>
    <xf numFmtId="0" fontId="9" fillId="2" borderId="5" xfId="0" applyFont="1" applyFill="1" applyBorder="1"/>
    <xf numFmtId="0" fontId="12" fillId="2" borderId="4" xfId="0" applyFont="1" applyFill="1" applyBorder="1" applyAlignment="1" applyProtection="1">
      <alignment horizontal="left"/>
    </xf>
    <xf numFmtId="0" fontId="12" fillId="2" borderId="0" xfId="0" applyFont="1" applyFill="1" applyBorder="1"/>
    <xf numFmtId="169" fontId="12" fillId="2" borderId="0" xfId="0" applyNumberFormat="1" applyFont="1" applyFill="1" applyBorder="1" applyProtection="1"/>
    <xf numFmtId="165" fontId="12" fillId="2" borderId="0" xfId="0" applyNumberFormat="1" applyFont="1" applyFill="1" applyBorder="1" applyProtection="1"/>
    <xf numFmtId="0" fontId="12" fillId="2" borderId="5" xfId="0" applyFont="1" applyFill="1" applyBorder="1"/>
    <xf numFmtId="0" fontId="12" fillId="2" borderId="0" xfId="0" applyFont="1" applyFill="1" applyBorder="1" applyProtection="1"/>
    <xf numFmtId="167" fontId="12" fillId="2" borderId="0" xfId="0" applyNumberFormat="1" applyFont="1" applyFill="1" applyBorder="1" applyProtection="1"/>
    <xf numFmtId="168" fontId="12" fillId="2" borderId="5" xfId="0" applyNumberFormat="1" applyFont="1" applyFill="1" applyBorder="1" applyProtection="1"/>
    <xf numFmtId="168" fontId="12" fillId="2" borderId="0" xfId="0" applyNumberFormat="1" applyFont="1" applyFill="1" applyBorder="1" applyProtection="1"/>
    <xf numFmtId="0" fontId="12" fillId="3" borderId="9" xfId="0" applyFont="1" applyFill="1" applyBorder="1" applyAlignment="1" applyProtection="1">
      <alignment horizontal="center"/>
      <protection locked="0"/>
    </xf>
    <xf numFmtId="0" fontId="12" fillId="2" borderId="0" xfId="0" applyFont="1" applyFill="1" applyBorder="1" applyAlignment="1" applyProtection="1">
      <alignment horizontal="center"/>
    </xf>
    <xf numFmtId="0" fontId="9" fillId="2" borderId="6" xfId="0" applyFont="1" applyFill="1" applyBorder="1"/>
    <xf numFmtId="167" fontId="9" fillId="2" borderId="7" xfId="0" applyNumberFormat="1" applyFont="1" applyFill="1" applyBorder="1" applyProtection="1"/>
    <xf numFmtId="0" fontId="9" fillId="2" borderId="8" xfId="0" applyFont="1" applyFill="1" applyBorder="1" applyProtection="1"/>
    <xf numFmtId="0" fontId="9" fillId="2" borderId="0" xfId="0" quotePrefix="1" applyFont="1" applyFill="1" applyBorder="1" applyAlignment="1" applyProtection="1">
      <alignment horizontal="left"/>
    </xf>
    <xf numFmtId="167" fontId="11" fillId="3" borderId="9" xfId="0" applyNumberFormat="1" applyFont="1" applyFill="1" applyBorder="1" applyAlignment="1" applyProtection="1">
      <alignment horizontal="center"/>
      <protection locked="0"/>
    </xf>
    <xf numFmtId="37" fontId="9" fillId="2" borderId="5" xfId="0" applyNumberFormat="1" applyFont="1" applyFill="1" applyBorder="1" applyProtection="1"/>
    <xf numFmtId="39" fontId="9" fillId="2" borderId="0" xfId="0" applyNumberFormat="1" applyFont="1" applyFill="1" applyBorder="1" applyProtection="1"/>
    <xf numFmtId="168" fontId="9" fillId="2" borderId="0" xfId="0" applyNumberFormat="1" applyFont="1" applyFill="1" applyBorder="1" applyAlignment="1" applyProtection="1">
      <alignment horizontal="center"/>
    </xf>
    <xf numFmtId="0" fontId="11" fillId="3" borderId="13" xfId="0" applyFont="1" applyFill="1" applyBorder="1" applyAlignment="1" applyProtection="1">
      <alignment horizontal="center"/>
      <protection locked="0"/>
    </xf>
    <xf numFmtId="0" fontId="9" fillId="0" borderId="10" xfId="0" applyFont="1" applyFill="1" applyBorder="1" applyProtection="1"/>
    <xf numFmtId="0" fontId="9" fillId="0" borderId="12" xfId="0" applyFont="1" applyFill="1" applyBorder="1" applyProtection="1"/>
    <xf numFmtId="0" fontId="9" fillId="0" borderId="12" xfId="0" applyFont="1" applyFill="1" applyBorder="1"/>
    <xf numFmtId="167" fontId="9" fillId="0" borderId="12" xfId="0" applyNumberFormat="1" applyFont="1" applyFill="1" applyBorder="1" applyProtection="1"/>
    <xf numFmtId="37" fontId="9" fillId="0" borderId="12" xfId="0" applyNumberFormat="1" applyFont="1" applyFill="1" applyBorder="1" applyProtection="1"/>
    <xf numFmtId="166" fontId="9" fillId="0" borderId="12" xfId="0" applyNumberFormat="1" applyFont="1" applyFill="1" applyBorder="1" applyProtection="1"/>
    <xf numFmtId="37" fontId="9" fillId="0" borderId="11" xfId="0" applyNumberFormat="1" applyFont="1" applyFill="1" applyBorder="1" applyProtection="1"/>
    <xf numFmtId="0" fontId="9" fillId="2" borderId="1" xfId="0" applyFont="1" applyFill="1" applyBorder="1" applyProtection="1"/>
    <xf numFmtId="0" fontId="9" fillId="2" borderId="2" xfId="0" applyFont="1" applyFill="1" applyBorder="1" applyProtection="1"/>
    <xf numFmtId="0" fontId="9" fillId="2" borderId="2" xfId="0" applyFont="1" applyFill="1" applyBorder="1" applyAlignment="1" applyProtection="1">
      <alignment horizontal="center"/>
    </xf>
    <xf numFmtId="0" fontId="9" fillId="2" borderId="2" xfId="0" applyFont="1" applyFill="1" applyBorder="1" applyAlignment="1">
      <alignment horizontal="center"/>
    </xf>
    <xf numFmtId="0" fontId="9" fillId="2" borderId="3" xfId="0" applyFont="1" applyFill="1" applyBorder="1" applyAlignment="1" applyProtection="1">
      <alignment horizontal="center"/>
    </xf>
    <xf numFmtId="167" fontId="9" fillId="2" borderId="0" xfId="0" applyNumberFormat="1" applyFont="1" applyFill="1" applyBorder="1" applyAlignment="1" applyProtection="1">
      <alignment horizontal="center"/>
    </xf>
    <xf numFmtId="0" fontId="9" fillId="2" borderId="5" xfId="0" applyFont="1" applyFill="1" applyBorder="1" applyAlignment="1" applyProtection="1">
      <alignment horizontal="center"/>
    </xf>
    <xf numFmtId="0" fontId="11" fillId="3" borderId="9" xfId="0" applyFont="1" applyFill="1" applyBorder="1" applyProtection="1">
      <protection locked="0"/>
    </xf>
    <xf numFmtId="168" fontId="11" fillId="3" borderId="9" xfId="0" applyNumberFormat="1" applyFont="1" applyFill="1" applyBorder="1" applyProtection="1">
      <protection locked="0"/>
    </xf>
    <xf numFmtId="0" fontId="9" fillId="2" borderId="4" xfId="0" applyFont="1" applyFill="1" applyBorder="1" applyAlignment="1" applyProtection="1">
      <alignment horizontal="fill"/>
    </xf>
    <xf numFmtId="0" fontId="9" fillId="2" borderId="0" xfId="0" applyFont="1" applyFill="1" applyBorder="1" applyAlignment="1" applyProtection="1">
      <alignment horizontal="fill"/>
    </xf>
    <xf numFmtId="0" fontId="9" fillId="2" borderId="5" xfId="0" applyFont="1" applyFill="1" applyBorder="1" applyAlignment="1" applyProtection="1">
      <alignment horizontal="left"/>
    </xf>
    <xf numFmtId="0" fontId="9" fillId="2" borderId="6" xfId="0" applyFont="1" applyFill="1" applyBorder="1" applyProtection="1"/>
    <xf numFmtId="0" fontId="9" fillId="2" borderId="7" xfId="0" applyFont="1" applyFill="1" applyBorder="1" applyAlignment="1" applyProtection="1">
      <alignment horizontal="left"/>
    </xf>
    <xf numFmtId="168" fontId="9" fillId="2" borderId="7" xfId="0" applyNumberFormat="1" applyFont="1" applyFill="1" applyBorder="1" applyProtection="1"/>
    <xf numFmtId="168" fontId="9" fillId="2" borderId="8" xfId="0" applyNumberFormat="1" applyFont="1" applyFill="1" applyBorder="1" applyProtection="1"/>
    <xf numFmtId="0" fontId="9" fillId="0" borderId="4" xfId="0" applyFont="1" applyFill="1" applyBorder="1" applyAlignment="1" applyProtection="1">
      <alignment horizontal="fill"/>
    </xf>
    <xf numFmtId="0" fontId="9" fillId="0" borderId="0" xfId="0" applyFont="1" applyFill="1" applyBorder="1" applyAlignment="1" applyProtection="1">
      <alignment horizontal="fill"/>
    </xf>
    <xf numFmtId="0" fontId="9" fillId="0" borderId="5" xfId="0" applyFont="1" applyFill="1" applyBorder="1" applyAlignment="1" applyProtection="1">
      <alignment horizontal="fill"/>
    </xf>
    <xf numFmtId="0" fontId="12" fillId="2" borderId="4" xfId="0" applyFont="1" applyFill="1" applyBorder="1" applyProtection="1"/>
    <xf numFmtId="168" fontId="12" fillId="2" borderId="0" xfId="0" applyNumberFormat="1" applyFont="1" applyFill="1" applyBorder="1" applyProtection="1">
      <protection locked="0"/>
    </xf>
    <xf numFmtId="0" fontId="12" fillId="2" borderId="5" xfId="0" applyFont="1" applyFill="1" applyBorder="1" applyAlignment="1" applyProtection="1">
      <alignment horizontal="left"/>
      <protection locked="0"/>
    </xf>
    <xf numFmtId="0" fontId="12" fillId="2" borderId="0" xfId="0" applyFont="1" applyFill="1" applyBorder="1" applyProtection="1">
      <protection locked="0"/>
    </xf>
    <xf numFmtId="0" fontId="9" fillId="0" borderId="4" xfId="0" applyFont="1" applyFill="1" applyBorder="1" applyProtection="1"/>
    <xf numFmtId="167" fontId="9" fillId="0" borderId="0" xfId="0" applyNumberFormat="1" applyFont="1" applyFill="1" applyBorder="1" applyProtection="1"/>
    <xf numFmtId="168" fontId="9" fillId="0" borderId="0" xfId="0" applyNumberFormat="1" applyFont="1" applyFill="1" applyBorder="1" applyProtection="1"/>
    <xf numFmtId="0" fontId="9" fillId="0" borderId="5" xfId="0" applyFont="1" applyFill="1" applyBorder="1"/>
    <xf numFmtId="167" fontId="9" fillId="2" borderId="2" xfId="0" applyNumberFormat="1" applyFont="1" applyFill="1" applyBorder="1" applyProtection="1"/>
    <xf numFmtId="0" fontId="9" fillId="2" borderId="3" xfId="0" applyFont="1" applyFill="1" applyBorder="1" applyAlignment="1" applyProtection="1">
      <alignment horizontal="right"/>
    </xf>
    <xf numFmtId="166" fontId="9" fillId="2" borderId="0" xfId="0" applyNumberFormat="1" applyFont="1" applyFill="1" applyBorder="1" applyProtection="1"/>
    <xf numFmtId="168" fontId="11" fillId="3" borderId="9" xfId="0" applyNumberFormat="1" applyFont="1" applyFill="1" applyBorder="1" applyAlignment="1" applyProtection="1">
      <alignment horizontal="center"/>
      <protection locked="0"/>
    </xf>
    <xf numFmtId="0" fontId="11" fillId="3" borderId="10" xfId="0" applyFont="1" applyFill="1" applyBorder="1" applyAlignment="1" applyProtection="1">
      <alignment horizontal="left"/>
      <protection locked="0"/>
    </xf>
    <xf numFmtId="0" fontId="9" fillId="3" borderId="11" xfId="0" applyFont="1" applyFill="1" applyBorder="1"/>
    <xf numFmtId="171" fontId="12" fillId="2" borderId="0" xfId="0" applyNumberFormat="1" applyFont="1" applyFill="1" applyBorder="1" applyProtection="1"/>
    <xf numFmtId="0" fontId="12" fillId="2" borderId="0" xfId="0" applyFont="1" applyFill="1" applyBorder="1" applyAlignment="1" applyProtection="1">
      <alignment horizontal="left"/>
    </xf>
    <xf numFmtId="0" fontId="12" fillId="2" borderId="0" xfId="0" applyFont="1" applyFill="1" applyBorder="1" applyAlignment="1" applyProtection="1">
      <alignment horizontal="left"/>
      <protection locked="0"/>
    </xf>
    <xf numFmtId="167" fontId="12" fillId="2" borderId="0" xfId="0" applyNumberFormat="1" applyFont="1" applyFill="1" applyBorder="1" applyProtection="1">
      <protection locked="0"/>
    </xf>
    <xf numFmtId="171" fontId="9" fillId="2" borderId="0" xfId="0" applyNumberFormat="1" applyFont="1" applyFill="1" applyBorder="1" applyProtection="1"/>
    <xf numFmtId="0" fontId="9" fillId="2" borderId="5" xfId="0" applyFont="1" applyFill="1" applyBorder="1" applyAlignment="1" applyProtection="1">
      <alignment horizontal="right"/>
    </xf>
    <xf numFmtId="0" fontId="9" fillId="2" borderId="0" xfId="0" applyFont="1" applyFill="1" applyBorder="1" applyAlignment="1" applyProtection="1">
      <alignment horizontal="right"/>
    </xf>
    <xf numFmtId="0" fontId="9" fillId="3" borderId="12" xfId="0" applyFont="1" applyFill="1" applyBorder="1"/>
    <xf numFmtId="171" fontId="11" fillId="3" borderId="9" xfId="0" applyNumberFormat="1" applyFont="1" applyFill="1" applyBorder="1" applyAlignment="1" applyProtection="1">
      <alignment horizontal="center"/>
      <protection locked="0"/>
    </xf>
    <xf numFmtId="0" fontId="11" fillId="3" borderId="10" xfId="0" applyFont="1" applyFill="1" applyBorder="1"/>
    <xf numFmtId="0" fontId="11" fillId="3" borderId="11" xfId="0" applyFont="1" applyFill="1" applyBorder="1"/>
    <xf numFmtId="9" fontId="9" fillId="2" borderId="0" xfId="0" applyNumberFormat="1" applyFont="1" applyFill="1" applyBorder="1" applyProtection="1"/>
    <xf numFmtId="166" fontId="9" fillId="2" borderId="4" xfId="0" applyNumberFormat="1" applyFont="1" applyFill="1" applyBorder="1" applyProtection="1"/>
    <xf numFmtId="0" fontId="9" fillId="2" borderId="6" xfId="0" applyFont="1" applyFill="1" applyBorder="1" applyAlignment="1" applyProtection="1">
      <alignment horizontal="fill"/>
    </xf>
    <xf numFmtId="0" fontId="9" fillId="2" borderId="7" xfId="0" applyFont="1" applyFill="1" applyBorder="1" applyAlignment="1" applyProtection="1">
      <alignment horizontal="fill"/>
    </xf>
    <xf numFmtId="0" fontId="9" fillId="2" borderId="8" xfId="0" applyFont="1" applyFill="1" applyBorder="1" applyAlignment="1" applyProtection="1">
      <alignment horizontal="fill"/>
    </xf>
    <xf numFmtId="167" fontId="9" fillId="2" borderId="4" xfId="0" applyNumberFormat="1" applyFont="1" applyFill="1" applyBorder="1" applyProtection="1"/>
    <xf numFmtId="166" fontId="9" fillId="2" borderId="8" xfId="0" applyNumberFormat="1" applyFont="1" applyFill="1" applyBorder="1" applyProtection="1"/>
    <xf numFmtId="0" fontId="9" fillId="2" borderId="5" xfId="0" applyFont="1" applyFill="1" applyBorder="1" applyAlignment="1" applyProtection="1">
      <alignment horizontal="fill"/>
    </xf>
    <xf numFmtId="166" fontId="9" fillId="2" borderId="5" xfId="0" applyNumberFormat="1" applyFont="1" applyFill="1" applyBorder="1" applyAlignment="1" applyProtection="1">
      <alignment horizontal="right"/>
    </xf>
    <xf numFmtId="0" fontId="11" fillId="2" borderId="0" xfId="0" applyFont="1" applyFill="1" applyBorder="1" applyAlignment="1" applyProtection="1">
      <alignment horizontal="center"/>
      <protection locked="0"/>
    </xf>
    <xf numFmtId="0" fontId="9" fillId="2" borderId="0" xfId="0" applyFont="1" applyFill="1" applyBorder="1" applyAlignment="1" applyProtection="1"/>
    <xf numFmtId="167" fontId="9" fillId="2" borderId="5" xfId="0" applyNumberFormat="1" applyFont="1" applyFill="1" applyBorder="1" applyAlignment="1" applyProtection="1">
      <alignment horizontal="center"/>
    </xf>
    <xf numFmtId="0" fontId="13" fillId="2" borderId="0" xfId="0" applyFont="1" applyFill="1" applyAlignment="1"/>
    <xf numFmtId="166" fontId="9" fillId="2" borderId="5" xfId="0" applyNumberFormat="1" applyFont="1" applyFill="1" applyBorder="1" applyAlignment="1" applyProtection="1">
      <alignment horizontal="left"/>
    </xf>
    <xf numFmtId="166" fontId="9" fillId="2" borderId="8" xfId="0" applyNumberFormat="1" applyFont="1" applyFill="1" applyBorder="1" applyAlignment="1" applyProtection="1">
      <alignment horizontal="left"/>
    </xf>
    <xf numFmtId="0" fontId="9" fillId="0" borderId="10" xfId="0" quotePrefix="1" applyFont="1" applyBorder="1"/>
    <xf numFmtId="0" fontId="9" fillId="0" borderId="12" xfId="0" applyFont="1" applyBorder="1" applyAlignment="1" applyProtection="1">
      <alignment horizontal="left"/>
    </xf>
    <xf numFmtId="0" fontId="9" fillId="0" borderId="12" xfId="0" applyFont="1" applyBorder="1"/>
    <xf numFmtId="0" fontId="11" fillId="0" borderId="12" xfId="0" applyFont="1" applyBorder="1" applyAlignment="1" applyProtection="1">
      <alignment horizontal="left"/>
      <protection locked="0"/>
    </xf>
    <xf numFmtId="0" fontId="9" fillId="0" borderId="11" xfId="0" applyFont="1" applyBorder="1" applyAlignment="1">
      <alignment horizontal="right"/>
    </xf>
    <xf numFmtId="0" fontId="13" fillId="0" borderId="1" xfId="0" applyFont="1" applyBorder="1"/>
    <xf numFmtId="0" fontId="14" fillId="5" borderId="2" xfId="0" applyFont="1" applyFill="1" applyBorder="1" applyAlignment="1" applyProtection="1">
      <alignment horizontal="fill"/>
    </xf>
    <xf numFmtId="0" fontId="14" fillId="5" borderId="3" xfId="0" applyFont="1" applyFill="1" applyBorder="1" applyAlignment="1" applyProtection="1">
      <alignment horizontal="fill"/>
    </xf>
    <xf numFmtId="0" fontId="9" fillId="0" borderId="0" xfId="0" applyFont="1"/>
    <xf numFmtId="0" fontId="14" fillId="5" borderId="0" xfId="0" applyFont="1" applyFill="1" applyBorder="1"/>
    <xf numFmtId="0" fontId="14" fillId="5" borderId="4" xfId="0" quotePrefix="1" applyFont="1" applyFill="1" applyBorder="1" applyAlignment="1">
      <alignment horizontal="center"/>
    </xf>
    <xf numFmtId="0" fontId="14" fillId="5" borderId="5" xfId="0" applyFont="1" applyFill="1" applyBorder="1"/>
    <xf numFmtId="0" fontId="14" fillId="5" borderId="4" xfId="0" quotePrefix="1" applyFont="1" applyFill="1" applyBorder="1" applyAlignment="1">
      <alignment horizontal="left"/>
    </xf>
    <xf numFmtId="0" fontId="14" fillId="5" borderId="4" xfId="0" quotePrefix="1" applyFont="1" applyFill="1" applyBorder="1" applyAlignment="1" applyProtection="1">
      <alignment horizontal="center"/>
    </xf>
    <xf numFmtId="9" fontId="14" fillId="5" borderId="0" xfId="0" applyNumberFormat="1" applyFont="1" applyFill="1" applyBorder="1" applyProtection="1"/>
    <xf numFmtId="0" fontId="13" fillId="0" borderId="4" xfId="0" applyFont="1" applyBorder="1"/>
    <xf numFmtId="0" fontId="14" fillId="5" borderId="4" xfId="0" applyFont="1" applyFill="1" applyBorder="1"/>
    <xf numFmtId="0" fontId="15" fillId="5" borderId="4" xfId="1" applyFont="1" applyFill="1" applyBorder="1" applyAlignment="1" applyProtection="1">
      <alignment horizontal="center"/>
    </xf>
    <xf numFmtId="0" fontId="14" fillId="5" borderId="0" xfId="0" applyFont="1" applyFill="1" applyBorder="1" applyAlignment="1" applyProtection="1">
      <alignment horizontal="center"/>
    </xf>
    <xf numFmtId="0" fontId="14" fillId="5" borderId="6" xfId="0" applyFont="1" applyFill="1" applyBorder="1"/>
    <xf numFmtId="0" fontId="14" fillId="5" borderId="7" xfId="0" applyFont="1" applyFill="1" applyBorder="1"/>
    <xf numFmtId="9" fontId="14" fillId="5" borderId="7" xfId="0" applyNumberFormat="1" applyFont="1" applyFill="1" applyBorder="1" applyProtection="1"/>
    <xf numFmtId="168" fontId="14" fillId="5" borderId="7" xfId="0" applyNumberFormat="1" applyFont="1" applyFill="1" applyBorder="1" applyProtection="1"/>
    <xf numFmtId="168" fontId="14" fillId="5" borderId="8" xfId="0" applyNumberFormat="1" applyFont="1" applyFill="1" applyBorder="1" applyProtection="1"/>
    <xf numFmtId="0" fontId="9" fillId="0" borderId="0" xfId="2" applyFont="1"/>
    <xf numFmtId="0" fontId="17" fillId="0" borderId="7" xfId="1" applyFont="1" applyFill="1" applyBorder="1" applyAlignment="1" applyProtection="1">
      <alignment horizontal="center"/>
    </xf>
    <xf numFmtId="0" fontId="14" fillId="5" borderId="0" xfId="3" applyFont="1" applyFill="1" applyBorder="1" applyProtection="1"/>
    <xf numFmtId="0" fontId="18" fillId="5" borderId="0" xfId="3" applyFont="1" applyFill="1" applyBorder="1"/>
    <xf numFmtId="0" fontId="18" fillId="5" borderId="0" xfId="3" applyFont="1" applyFill="1" applyBorder="1" applyProtection="1"/>
    <xf numFmtId="167" fontId="18" fillId="5" borderId="0" xfId="3" applyNumberFormat="1" applyFont="1" applyFill="1" applyBorder="1" applyProtection="1"/>
  </cellXfs>
  <cellStyles count="4">
    <cellStyle name="Hyperlink" xfId="1" builtinId="8"/>
    <cellStyle name="Normal" xfId="0" builtinId="0"/>
    <cellStyle name="Normal_Oats" xfId="3" xr:uid="{2D3F2AB2-C46E-4003-8501-ABFFF40AA8C8}"/>
    <cellStyle name="Normal_Raspc2" xfId="2" xr:uid="{00000000-0005-0000-0000-000002000000}"/>
  </cellStyles>
  <dxfs count="3">
    <dxf>
      <fill>
        <patternFill>
          <bgColor indexed="10"/>
        </patternFill>
      </fill>
    </dxf>
    <dxf>
      <fill>
        <patternFill>
          <bgColor indexed="13"/>
        </patternFill>
      </fill>
    </dxf>
    <dxf>
      <fill>
        <patternFill>
          <bgColor indexed="5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589128</xdr:colOff>
      <xdr:row>2</xdr:row>
      <xdr:rowOff>217668</xdr:rowOff>
    </xdr:to>
    <xdr:pic>
      <xdr:nvPicPr>
        <xdr:cNvPr id="3" name="Picture 2" descr="This is the Ontario Trillium logo">
          <a:extLst>
            <a:ext uri="{FF2B5EF4-FFF2-40B4-BE49-F238E27FC236}">
              <a16:creationId xmlns:a16="http://schemas.microsoft.com/office/drawing/2014/main" id="{D77F2FCF-3FD3-48F4-BB58-456A9792E92C}"/>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0025"/>
          <a:ext cx="1779753" cy="41769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omafra.gov.on.ca/english/busdev/agbusdev.html" TargetMode="External"/><Relationship Id="rId1" Type="http://schemas.openxmlformats.org/officeDocument/2006/relationships/hyperlink" Target="mailto:ag.info.omafra@ontario.ca"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1"/>
  <dimension ref="A1:AA306"/>
  <sheetViews>
    <sheetView showGridLines="0" tabSelected="1" zoomScaleNormal="100" zoomScaleSheetLayoutView="100" workbookViewId="0">
      <selection activeCell="E73" sqref="E73"/>
    </sheetView>
  </sheetViews>
  <sheetFormatPr defaultColWidth="9.58203125" defaultRowHeight="12.45" x14ac:dyDescent="0.3"/>
  <cols>
    <col min="1" max="8" width="15.58203125" style="12" customWidth="1"/>
    <col min="9" max="18" width="9.58203125" style="7" hidden="1" customWidth="1"/>
    <col min="19" max="19" width="7.58203125" style="7" hidden="1" customWidth="1"/>
    <col min="20" max="20" width="2.58203125" style="7" hidden="1" customWidth="1"/>
    <col min="21" max="21" width="16.58203125" style="7" hidden="1" customWidth="1"/>
    <col min="22" max="27" width="9.58203125" style="7" hidden="1" customWidth="1"/>
    <col min="28" max="40" width="9.58203125" style="7"/>
    <col min="41" max="41" width="11.58203125" style="7" customWidth="1"/>
    <col min="42" max="49" width="7.58203125" style="7" customWidth="1"/>
    <col min="50" max="50" width="5.58203125" style="7" customWidth="1"/>
    <col min="51" max="240" width="9.58203125" style="7"/>
    <col min="241" max="241" width="7.58203125" style="7" customWidth="1"/>
    <col min="242" max="242" width="2.58203125" style="7" customWidth="1"/>
    <col min="243" max="249" width="9.58203125" style="7"/>
    <col min="250" max="250" width="7.58203125" style="7" customWidth="1"/>
    <col min="251" max="251" width="2.58203125" style="7" customWidth="1"/>
    <col min="252" max="16384" width="9.58203125" style="7"/>
  </cols>
  <sheetData>
    <row r="1" spans="1:11" ht="15.45" x14ac:dyDescent="0.4">
      <c r="A1" s="162" t="s">
        <v>196</v>
      </c>
    </row>
    <row r="2" spans="1:11" ht="15.75" customHeight="1" x14ac:dyDescent="0.4">
      <c r="A2" s="16"/>
      <c r="B2" s="17"/>
      <c r="C2" s="18" t="s">
        <v>194</v>
      </c>
      <c r="D2" s="17"/>
      <c r="E2" s="17"/>
      <c r="F2" s="17"/>
      <c r="G2" s="18" t="s">
        <v>200</v>
      </c>
      <c r="H2" s="19"/>
      <c r="I2" s="2"/>
      <c r="J2" s="2"/>
      <c r="K2" s="2"/>
    </row>
    <row r="3" spans="1:11" ht="30" customHeight="1" x14ac:dyDescent="0.4">
      <c r="A3" s="20">
        <v>202</v>
      </c>
      <c r="B3" s="21"/>
      <c r="C3" s="21"/>
      <c r="D3" s="21"/>
      <c r="E3" s="21"/>
      <c r="F3" s="22" t="str">
        <f>IF(D36="N","Return / Feeder:",IF(D36="Y","Profit / kg:","INCORRECT"))</f>
        <v>Return / Feeder:</v>
      </c>
      <c r="G3" s="23"/>
      <c r="H3" s="24">
        <f ca="1">E133</f>
        <v>-7.844701141705821</v>
      </c>
      <c r="I3" s="2"/>
      <c r="J3" s="2"/>
      <c r="K3" s="2"/>
    </row>
    <row r="4" spans="1:11" ht="15.45" x14ac:dyDescent="0.4">
      <c r="A4" s="25" t="s">
        <v>165</v>
      </c>
      <c r="B4" s="26"/>
      <c r="C4" s="26"/>
      <c r="D4" s="26"/>
      <c r="E4" s="26"/>
      <c r="F4" s="27"/>
      <c r="G4" s="28"/>
      <c r="H4" s="29"/>
      <c r="I4" s="2"/>
      <c r="J4" s="2"/>
      <c r="K4" s="2"/>
    </row>
    <row r="5" spans="1:11" ht="15.45" x14ac:dyDescent="0.4">
      <c r="A5" s="16" t="s">
        <v>0</v>
      </c>
      <c r="B5" s="17"/>
      <c r="C5" s="17"/>
      <c r="D5" s="30">
        <v>300</v>
      </c>
      <c r="E5" s="17"/>
      <c r="F5" s="17"/>
      <c r="G5" s="31" t="s">
        <v>1</v>
      </c>
      <c r="H5" s="19"/>
      <c r="I5" s="2"/>
      <c r="J5" s="2"/>
      <c r="K5" s="2"/>
    </row>
    <row r="6" spans="1:11" ht="15.45" x14ac:dyDescent="0.4">
      <c r="A6" s="32" t="s">
        <v>2</v>
      </c>
      <c r="B6" s="33"/>
      <c r="C6" s="34"/>
      <c r="D6" s="30">
        <v>0</v>
      </c>
      <c r="E6" s="34"/>
      <c r="F6" s="34"/>
      <c r="G6" s="34"/>
      <c r="H6" s="35"/>
      <c r="I6" s="2"/>
      <c r="J6" s="2"/>
      <c r="K6" s="2"/>
    </row>
    <row r="7" spans="1:11" ht="15.45" x14ac:dyDescent="0.4">
      <c r="A7" s="32" t="s">
        <v>3</v>
      </c>
      <c r="B7" s="33"/>
      <c r="C7" s="33"/>
      <c r="D7" s="30">
        <f>D5*2.35</f>
        <v>705</v>
      </c>
      <c r="E7" s="36" t="s">
        <v>4</v>
      </c>
      <c r="F7" s="34"/>
      <c r="G7" s="34"/>
      <c r="H7" s="37">
        <f>D7/D5</f>
        <v>2.35</v>
      </c>
      <c r="I7" s="2"/>
      <c r="J7" s="2"/>
      <c r="K7" s="2"/>
    </row>
    <row r="8" spans="1:11" ht="15.45" x14ac:dyDescent="0.4">
      <c r="A8" s="32" t="s">
        <v>5</v>
      </c>
      <c r="B8" s="33"/>
      <c r="C8" s="33"/>
      <c r="D8" s="30">
        <v>21</v>
      </c>
      <c r="E8" s="36" t="s">
        <v>6</v>
      </c>
      <c r="F8" s="34"/>
      <c r="G8" s="34"/>
      <c r="H8" s="38">
        <f>(D7/D5)*((D8+D10+114)/365)*100</f>
        <v>91.424657534246577</v>
      </c>
      <c r="I8" s="2"/>
      <c r="J8" s="2"/>
      <c r="K8" s="2"/>
    </row>
    <row r="9" spans="1:11" ht="15.45" x14ac:dyDescent="0.4">
      <c r="A9" s="32" t="s">
        <v>7</v>
      </c>
      <c r="B9" s="33"/>
      <c r="C9" s="39"/>
      <c r="D9" s="30">
        <v>28</v>
      </c>
      <c r="E9" s="36" t="s">
        <v>8</v>
      </c>
      <c r="F9" s="34"/>
      <c r="G9" s="34"/>
      <c r="H9" s="40">
        <f>D7/52</f>
        <v>13.557692307692308</v>
      </c>
      <c r="I9" s="2"/>
      <c r="J9" s="2"/>
      <c r="K9" s="2"/>
    </row>
    <row r="10" spans="1:11" ht="15.45" x14ac:dyDescent="0.4">
      <c r="A10" s="32" t="s">
        <v>9</v>
      </c>
      <c r="B10" s="33"/>
      <c r="C10" s="39"/>
      <c r="D10" s="30">
        <v>7</v>
      </c>
      <c r="E10" s="36" t="s">
        <v>10</v>
      </c>
      <c r="F10" s="34"/>
      <c r="G10" s="34"/>
      <c r="H10" s="40">
        <f>D7*D9/365</f>
        <v>54.082191780821915</v>
      </c>
      <c r="I10" s="2"/>
      <c r="J10" s="2"/>
      <c r="K10" s="2"/>
    </row>
    <row r="11" spans="1:11" ht="15.45" x14ac:dyDescent="0.4">
      <c r="A11" s="32" t="s">
        <v>11</v>
      </c>
      <c r="B11" s="33"/>
      <c r="C11" s="33"/>
      <c r="D11" s="30">
        <v>12.5</v>
      </c>
      <c r="E11" s="33"/>
      <c r="F11" s="34"/>
      <c r="G11" s="33"/>
      <c r="H11" s="40"/>
      <c r="I11" s="2"/>
      <c r="J11" s="2"/>
      <c r="K11" s="2"/>
    </row>
    <row r="12" spans="1:11" ht="15.45" x14ac:dyDescent="0.4">
      <c r="A12" s="41"/>
      <c r="B12" s="33"/>
      <c r="C12" s="33"/>
      <c r="D12" s="39"/>
      <c r="E12" s="36" t="s">
        <v>12</v>
      </c>
      <c r="F12" s="42"/>
      <c r="G12" s="42"/>
      <c r="H12" s="40">
        <f>D11*D13/100</f>
        <v>11</v>
      </c>
      <c r="I12" s="2"/>
      <c r="J12" s="2"/>
      <c r="K12" s="2"/>
    </row>
    <row r="13" spans="1:11" ht="15.45" x14ac:dyDescent="0.4">
      <c r="A13" s="32" t="s">
        <v>166</v>
      </c>
      <c r="B13" s="33"/>
      <c r="C13" s="33"/>
      <c r="D13" s="30">
        <v>88</v>
      </c>
      <c r="E13" s="36" t="s">
        <v>13</v>
      </c>
      <c r="F13" s="33"/>
      <c r="G13" s="33"/>
      <c r="H13" s="38">
        <f>H12*D7</f>
        <v>7755</v>
      </c>
      <c r="I13" s="2"/>
      <c r="J13" s="2"/>
      <c r="K13" s="2"/>
    </row>
    <row r="14" spans="1:11" ht="15.45" x14ac:dyDescent="0.4">
      <c r="A14" s="32" t="s">
        <v>14</v>
      </c>
      <c r="B14" s="33"/>
      <c r="C14" s="33"/>
      <c r="D14" s="30">
        <v>96</v>
      </c>
      <c r="E14" s="36" t="s">
        <v>15</v>
      </c>
      <c r="F14" s="42"/>
      <c r="G14" s="42"/>
      <c r="H14" s="40">
        <f>H13/H10</f>
        <v>143.39285714285714</v>
      </c>
      <c r="I14" s="2"/>
      <c r="J14" s="2"/>
      <c r="K14" s="2"/>
    </row>
    <row r="15" spans="1:11" ht="15.45" x14ac:dyDescent="0.4">
      <c r="A15" s="32" t="s">
        <v>16</v>
      </c>
      <c r="B15" s="33"/>
      <c r="C15" s="33"/>
      <c r="D15" s="30">
        <v>56</v>
      </c>
      <c r="E15" s="33"/>
      <c r="F15" s="42"/>
      <c r="G15" s="42"/>
      <c r="H15" s="38"/>
      <c r="I15" s="2"/>
      <c r="J15" s="2"/>
      <c r="K15" s="4">
        <v>0</v>
      </c>
    </row>
    <row r="16" spans="1:11" ht="15.45" x14ac:dyDescent="0.4">
      <c r="A16" s="32" t="s">
        <v>17</v>
      </c>
      <c r="B16" s="33"/>
      <c r="C16" s="33"/>
      <c r="D16" s="30">
        <v>27</v>
      </c>
      <c r="E16" s="36" t="s">
        <v>18</v>
      </c>
      <c r="F16" s="39"/>
      <c r="G16" s="39"/>
      <c r="H16" s="40">
        <f>H12*D14/100</f>
        <v>10.56</v>
      </c>
      <c r="I16" s="2"/>
      <c r="J16" s="2"/>
      <c r="K16" s="5">
        <f ca="1">H115</f>
        <v>595940.44999999984</v>
      </c>
    </row>
    <row r="17" spans="1:11" ht="15.45" x14ac:dyDescent="0.4">
      <c r="A17" s="43"/>
      <c r="B17" s="33"/>
      <c r="C17" s="33"/>
      <c r="D17" s="34"/>
      <c r="E17" s="36" t="s">
        <v>19</v>
      </c>
      <c r="F17" s="42"/>
      <c r="G17" s="42"/>
      <c r="H17" s="38">
        <f>ROUND(H16*D7,0)</f>
        <v>7445</v>
      </c>
      <c r="I17" s="2"/>
      <c r="J17" s="2"/>
      <c r="K17" s="5">
        <f>H124</f>
        <v>110334.90000000001</v>
      </c>
    </row>
    <row r="18" spans="1:11" ht="15.45" x14ac:dyDescent="0.4">
      <c r="A18" s="32" t="s">
        <v>20</v>
      </c>
      <c r="B18" s="33"/>
      <c r="C18" s="44"/>
      <c r="D18" s="34"/>
      <c r="E18" s="36" t="s">
        <v>21</v>
      </c>
      <c r="F18" s="33"/>
      <c r="G18" s="44"/>
      <c r="H18" s="40">
        <f>H17/D5</f>
        <v>24.816666666666666</v>
      </c>
      <c r="I18" s="2"/>
      <c r="J18" s="2"/>
      <c r="K18" s="5">
        <f>H53</f>
        <v>647871.55000000005</v>
      </c>
    </row>
    <row r="19" spans="1:11" ht="15.45" x14ac:dyDescent="0.4">
      <c r="A19" s="32" t="s">
        <v>22</v>
      </c>
      <c r="B19" s="33"/>
      <c r="C19" s="44"/>
      <c r="D19" s="30">
        <v>1.726</v>
      </c>
      <c r="E19" s="36" t="s">
        <v>23</v>
      </c>
      <c r="F19" s="45"/>
      <c r="G19" s="45"/>
      <c r="H19" s="46">
        <f>+H17*D16</f>
        <v>201015</v>
      </c>
      <c r="I19" s="2"/>
      <c r="J19" s="2"/>
      <c r="K19" s="3">
        <f>I150</f>
        <v>127482.09239691679</v>
      </c>
    </row>
    <row r="20" spans="1:11" ht="15.45" x14ac:dyDescent="0.4">
      <c r="A20" s="32" t="s">
        <v>24</v>
      </c>
      <c r="B20" s="33"/>
      <c r="C20" s="44"/>
      <c r="D20" s="30">
        <v>4.0999999999999996</v>
      </c>
      <c r="E20" s="33"/>
      <c r="F20" s="47"/>
      <c r="G20" s="47"/>
      <c r="H20" s="37"/>
      <c r="I20" s="2"/>
      <c r="J20" s="2"/>
      <c r="K20" s="2"/>
    </row>
    <row r="21" spans="1:11" ht="15.45" x14ac:dyDescent="0.4">
      <c r="A21" s="32" t="s">
        <v>25</v>
      </c>
      <c r="B21" s="33"/>
      <c r="C21" s="39"/>
      <c r="D21" s="30">
        <v>2.5</v>
      </c>
      <c r="E21" s="36" t="s">
        <v>26</v>
      </c>
      <c r="F21" s="47"/>
      <c r="G21" s="47"/>
      <c r="H21" s="37"/>
      <c r="I21" s="2"/>
      <c r="J21" s="2"/>
      <c r="K21" s="1" t="s">
        <v>151</v>
      </c>
    </row>
    <row r="22" spans="1:11" ht="15.45" x14ac:dyDescent="0.4">
      <c r="A22" s="43"/>
      <c r="B22" s="34"/>
      <c r="C22" s="48"/>
      <c r="D22" s="33"/>
      <c r="E22" s="36" t="s">
        <v>27</v>
      </c>
      <c r="F22" s="47"/>
      <c r="G22" s="47"/>
      <c r="H22" s="37">
        <f>((114*D7)+((100-H8)*D5*365/100))*D19/1000</f>
        <v>154.92576</v>
      </c>
      <c r="I22" s="2"/>
      <c r="J22" s="2"/>
      <c r="K22" s="1" t="s">
        <v>150</v>
      </c>
    </row>
    <row r="23" spans="1:11" ht="15.45" x14ac:dyDescent="0.4">
      <c r="A23" s="32" t="s">
        <v>28</v>
      </c>
      <c r="B23" s="34"/>
      <c r="C23" s="34"/>
      <c r="D23" s="49" t="s">
        <v>178</v>
      </c>
      <c r="E23" s="36" t="s">
        <v>29</v>
      </c>
      <c r="F23" s="34"/>
      <c r="G23" s="33"/>
      <c r="H23" s="37">
        <f>D7*(D8+D10)*D20/1000</f>
        <v>80.933999999999997</v>
      </c>
      <c r="I23" s="2"/>
      <c r="J23" s="2"/>
      <c r="K23" s="5">
        <f>H17</f>
        <v>7445</v>
      </c>
    </row>
    <row r="24" spans="1:11" ht="15.45" x14ac:dyDescent="0.4">
      <c r="A24" s="32" t="s">
        <v>179</v>
      </c>
      <c r="B24" s="33"/>
      <c r="C24" s="33"/>
      <c r="D24" s="30">
        <v>1.78</v>
      </c>
      <c r="E24" s="36" t="s">
        <v>30</v>
      </c>
      <c r="F24" s="33"/>
      <c r="G24" s="33"/>
      <c r="H24" s="37">
        <f>D6*D21*365/1000</f>
        <v>0</v>
      </c>
      <c r="I24" s="2"/>
      <c r="J24" s="2"/>
      <c r="K24" s="5">
        <f>SUM(H87:H89)</f>
        <v>47426.399999999994</v>
      </c>
    </row>
    <row r="25" spans="1:11" ht="15.45" x14ac:dyDescent="0.4">
      <c r="A25" s="43" t="s">
        <v>180</v>
      </c>
      <c r="B25" s="42"/>
      <c r="C25" s="47"/>
      <c r="D25" s="30">
        <v>7.22</v>
      </c>
      <c r="E25" s="36" t="s">
        <v>167</v>
      </c>
      <c r="F25" s="33"/>
      <c r="G25" s="33"/>
      <c r="H25" s="37">
        <f>D24*H17/1000</f>
        <v>13.2521</v>
      </c>
      <c r="I25" s="2"/>
      <c r="J25" s="2"/>
      <c r="K25" s="5">
        <f>SUM(H62:H73)</f>
        <v>330036.84999999998</v>
      </c>
    </row>
    <row r="26" spans="1:11" ht="15.45" x14ac:dyDescent="0.4">
      <c r="A26" s="43" t="s">
        <v>181</v>
      </c>
      <c r="B26" s="33"/>
      <c r="C26" s="33"/>
      <c r="D26" s="30">
        <v>24.5</v>
      </c>
      <c r="E26" s="36" t="s">
        <v>168</v>
      </c>
      <c r="F26" s="33"/>
      <c r="G26" s="33"/>
      <c r="H26" s="37">
        <f>D25*H17/1000</f>
        <v>53.752900000000004</v>
      </c>
      <c r="I26" s="2"/>
      <c r="J26" s="2"/>
      <c r="K26" s="5">
        <f>H94+H95</f>
        <v>49360.349999999991</v>
      </c>
    </row>
    <row r="27" spans="1:11" ht="15.45" x14ac:dyDescent="0.4">
      <c r="A27" s="36" t="s">
        <v>172</v>
      </c>
      <c r="B27" s="42"/>
      <c r="C27" s="42"/>
      <c r="D27" s="50">
        <f>(H25+H26+H27)/H17*1000</f>
        <v>33.5</v>
      </c>
      <c r="E27" s="36" t="s">
        <v>169</v>
      </c>
      <c r="F27" s="33"/>
      <c r="G27" s="33"/>
      <c r="H27" s="37">
        <f>D26*H17/1000</f>
        <v>182.4025</v>
      </c>
      <c r="I27" s="2"/>
      <c r="J27" s="2"/>
      <c r="K27" s="5">
        <f>SUM(H93,H96,H99,H102)</f>
        <v>102443.2</v>
      </c>
    </row>
    <row r="28" spans="1:11" ht="15.45" x14ac:dyDescent="0.4">
      <c r="A28" s="43"/>
      <c r="B28" s="33"/>
      <c r="C28" s="48"/>
      <c r="D28" s="34"/>
      <c r="E28" s="36"/>
      <c r="F28" s="33"/>
      <c r="G28" s="33"/>
      <c r="H28" s="37"/>
      <c r="I28" s="6"/>
      <c r="J28" s="2"/>
      <c r="K28" s="5">
        <f>H97+H98</f>
        <v>23824</v>
      </c>
    </row>
    <row r="29" spans="1:11" ht="15.45" x14ac:dyDescent="0.4">
      <c r="A29" s="41"/>
      <c r="B29" s="33"/>
      <c r="C29" s="45"/>
      <c r="D29" s="33"/>
      <c r="E29" s="36" t="s">
        <v>170</v>
      </c>
      <c r="F29" s="33"/>
      <c r="G29" s="42"/>
      <c r="H29" s="37">
        <f>(H22+H23)/D5*1000</f>
        <v>786.19920000000002</v>
      </c>
      <c r="I29" s="2"/>
      <c r="J29" s="2"/>
      <c r="K29" s="5">
        <f>H100+H101</f>
        <v>0</v>
      </c>
    </row>
    <row r="30" spans="1:11" ht="15.45" hidden="1" x14ac:dyDescent="0.4">
      <c r="A30" s="41"/>
      <c r="B30" s="33"/>
      <c r="C30" s="45"/>
      <c r="D30" s="33"/>
      <c r="E30" s="33"/>
      <c r="F30" s="48"/>
      <c r="G30" s="33"/>
      <c r="H30" s="51"/>
      <c r="I30" s="2"/>
      <c r="J30" s="2"/>
      <c r="K30" s="2"/>
    </row>
    <row r="31" spans="1:11" ht="15.45" hidden="1" x14ac:dyDescent="0.4">
      <c r="A31" s="41"/>
      <c r="B31" s="33"/>
      <c r="C31" s="45"/>
      <c r="D31" s="33"/>
      <c r="E31" s="33"/>
      <c r="F31" s="48"/>
      <c r="G31" s="33"/>
      <c r="H31" s="51"/>
      <c r="I31" s="2"/>
      <c r="J31" s="2"/>
      <c r="K31" s="2"/>
    </row>
    <row r="32" spans="1:11" ht="15.45" hidden="1" x14ac:dyDescent="0.4">
      <c r="A32" s="52" t="s">
        <v>31</v>
      </c>
      <c r="B32" s="53"/>
      <c r="C32" s="54"/>
      <c r="D32" s="53"/>
      <c r="E32" s="53"/>
      <c r="F32" s="55"/>
      <c r="G32" s="53"/>
      <c r="H32" s="56"/>
      <c r="I32" s="2"/>
      <c r="J32" s="2"/>
      <c r="K32" s="2"/>
    </row>
    <row r="33" spans="1:11" ht="15.45" hidden="1" x14ac:dyDescent="0.4">
      <c r="A33" s="52" t="s">
        <v>32</v>
      </c>
      <c r="B33" s="53"/>
      <c r="C33" s="54"/>
      <c r="D33" s="53"/>
      <c r="E33" s="57"/>
      <c r="F33" s="53"/>
      <c r="G33" s="58"/>
      <c r="H33" s="59"/>
      <c r="I33" s="2"/>
      <c r="J33" s="2"/>
      <c r="K33" s="2"/>
    </row>
    <row r="34" spans="1:11" ht="15.45" hidden="1" x14ac:dyDescent="0.4">
      <c r="A34" s="52"/>
      <c r="B34" s="53"/>
      <c r="C34" s="55"/>
      <c r="D34" s="53"/>
      <c r="E34" s="57"/>
      <c r="F34" s="60"/>
      <c r="G34" s="58"/>
      <c r="H34" s="59"/>
      <c r="I34" s="2"/>
      <c r="J34" s="2"/>
      <c r="K34" s="2"/>
    </row>
    <row r="35" spans="1:11" ht="15.45" hidden="1" x14ac:dyDescent="0.4">
      <c r="A35" s="52" t="s">
        <v>33</v>
      </c>
      <c r="B35" s="53"/>
      <c r="C35" s="55"/>
      <c r="D35" s="61" t="s">
        <v>34</v>
      </c>
      <c r="E35" s="60"/>
      <c r="F35" s="60"/>
      <c r="G35" s="58"/>
      <c r="H35" s="59"/>
      <c r="I35" s="2"/>
      <c r="J35" s="2"/>
      <c r="K35" s="2"/>
    </row>
    <row r="36" spans="1:11" ht="15.45" hidden="1" x14ac:dyDescent="0.4">
      <c r="A36" s="52" t="s">
        <v>35</v>
      </c>
      <c r="B36" s="53"/>
      <c r="C36" s="53"/>
      <c r="D36" s="62" t="str">
        <f>IF(UPPER(D35)="Y","N",IF(UPPER(D35)="N","Y","INCORRECT"))</f>
        <v>N</v>
      </c>
      <c r="E36" s="53"/>
      <c r="F36" s="60"/>
      <c r="G36" s="53"/>
      <c r="H36" s="56"/>
      <c r="I36" s="6"/>
      <c r="J36" s="2"/>
      <c r="K36" s="2"/>
    </row>
    <row r="37" spans="1:11" ht="15.45" x14ac:dyDescent="0.4">
      <c r="A37" s="63"/>
      <c r="B37" s="22"/>
      <c r="C37" s="21"/>
      <c r="D37" s="22"/>
      <c r="E37" s="22"/>
      <c r="F37" s="21"/>
      <c r="G37" s="64"/>
      <c r="H37" s="65"/>
      <c r="I37" s="3"/>
      <c r="J37" s="2"/>
      <c r="K37" s="3"/>
    </row>
    <row r="38" spans="1:11" ht="15.45" x14ac:dyDescent="0.4">
      <c r="A38" s="16" t="s">
        <v>191</v>
      </c>
      <c r="B38" s="17"/>
      <c r="C38" s="17"/>
      <c r="D38" s="17"/>
      <c r="E38" s="18" t="s">
        <v>36</v>
      </c>
      <c r="F38" s="18" t="s">
        <v>37</v>
      </c>
      <c r="G38" s="18" t="s">
        <v>38</v>
      </c>
      <c r="H38" s="19"/>
      <c r="I38" s="3"/>
      <c r="J38" s="3"/>
      <c r="K38" s="3"/>
    </row>
    <row r="39" spans="1:11" ht="15.45" x14ac:dyDescent="0.4">
      <c r="A39" s="32" t="s">
        <v>39</v>
      </c>
      <c r="B39" s="33"/>
      <c r="C39" s="66" t="s">
        <v>171</v>
      </c>
      <c r="D39" s="33"/>
      <c r="E39" s="67">
        <v>82.79</v>
      </c>
      <c r="F39" s="67">
        <v>82.79</v>
      </c>
      <c r="G39" s="67">
        <v>54.4</v>
      </c>
      <c r="H39" s="46"/>
      <c r="I39" s="3"/>
      <c r="J39" s="3"/>
      <c r="K39" s="3"/>
    </row>
    <row r="40" spans="1:11" ht="15.45" x14ac:dyDescent="0.4">
      <c r="A40" s="32" t="s">
        <v>40</v>
      </c>
      <c r="B40" s="33"/>
      <c r="C40" s="36" t="s">
        <v>41</v>
      </c>
      <c r="D40" s="33"/>
      <c r="E40" s="30">
        <v>300</v>
      </c>
      <c r="F40" s="30">
        <v>300</v>
      </c>
      <c r="G40" s="30">
        <v>110</v>
      </c>
      <c r="H40" s="68"/>
      <c r="I40" s="6"/>
      <c r="J40" s="3"/>
      <c r="K40" s="3"/>
    </row>
    <row r="41" spans="1:11" ht="15.45" x14ac:dyDescent="0.4">
      <c r="A41" s="32" t="s">
        <v>42</v>
      </c>
      <c r="B41" s="33"/>
      <c r="C41" s="36" t="s">
        <v>43</v>
      </c>
      <c r="D41" s="33"/>
      <c r="E41" s="30">
        <v>250</v>
      </c>
      <c r="F41" s="30">
        <v>200</v>
      </c>
      <c r="G41" s="30">
        <v>140</v>
      </c>
      <c r="H41" s="68"/>
      <c r="I41" s="3"/>
      <c r="J41" s="3"/>
      <c r="K41" s="3"/>
    </row>
    <row r="42" spans="1:11" ht="15.45" x14ac:dyDescent="0.4">
      <c r="A42" s="32" t="s">
        <v>44</v>
      </c>
      <c r="B42" s="33"/>
      <c r="C42" s="69"/>
      <c r="D42" s="33"/>
      <c r="E42" s="30">
        <v>7594</v>
      </c>
      <c r="F42" s="70">
        <f>H17</f>
        <v>7445</v>
      </c>
      <c r="G42" s="30">
        <v>7296</v>
      </c>
      <c r="H42" s="51"/>
      <c r="I42" s="3"/>
      <c r="J42" s="3"/>
      <c r="K42" s="3"/>
    </row>
    <row r="43" spans="1:11" ht="15.45" x14ac:dyDescent="0.4">
      <c r="A43" s="41"/>
      <c r="B43" s="33"/>
      <c r="C43" s="33"/>
      <c r="D43" s="34"/>
      <c r="E43" s="34"/>
      <c r="F43" s="33"/>
      <c r="G43" s="34"/>
      <c r="H43" s="51"/>
      <c r="I43" s="2"/>
      <c r="J43" s="2"/>
      <c r="K43" s="2"/>
    </row>
    <row r="44" spans="1:11" ht="15.45" x14ac:dyDescent="0.4">
      <c r="A44" s="32" t="s">
        <v>164</v>
      </c>
      <c r="B44" s="33"/>
      <c r="C44" s="33"/>
      <c r="D44" s="33"/>
      <c r="E44" s="33"/>
      <c r="F44" s="71">
        <v>20</v>
      </c>
      <c r="G44" s="36" t="s">
        <v>45</v>
      </c>
      <c r="H44" s="51"/>
      <c r="I44" s="6"/>
      <c r="J44" s="2"/>
      <c r="K44" s="2"/>
    </row>
    <row r="45" spans="1:11" ht="15.45" x14ac:dyDescent="0.4">
      <c r="A45" s="72"/>
      <c r="B45" s="73"/>
      <c r="C45" s="74"/>
      <c r="D45" s="75"/>
      <c r="E45" s="76"/>
      <c r="F45" s="74"/>
      <c r="G45" s="77"/>
      <c r="H45" s="78"/>
      <c r="I45" s="6"/>
      <c r="J45" s="2"/>
      <c r="K45" s="2"/>
    </row>
    <row r="46" spans="1:11" ht="15.45" x14ac:dyDescent="0.4">
      <c r="A46" s="79" t="s">
        <v>162</v>
      </c>
      <c r="B46" s="80"/>
      <c r="C46" s="17"/>
      <c r="D46" s="50"/>
      <c r="E46" s="81" t="s">
        <v>46</v>
      </c>
      <c r="F46" s="82"/>
      <c r="G46" s="81" t="s">
        <v>47</v>
      </c>
      <c r="H46" s="83" t="s">
        <v>48</v>
      </c>
      <c r="I46" s="6"/>
      <c r="J46" s="2"/>
      <c r="K46" s="3"/>
    </row>
    <row r="47" spans="1:11" ht="15.45" x14ac:dyDescent="0.4">
      <c r="A47" s="32" t="s">
        <v>49</v>
      </c>
      <c r="B47" s="34"/>
      <c r="C47" s="33"/>
      <c r="D47" s="49" t="s">
        <v>50</v>
      </c>
      <c r="E47" s="49" t="s">
        <v>51</v>
      </c>
      <c r="F47" s="84"/>
      <c r="G47" s="49" t="str">
        <f>G59</f>
        <v>/Feeder</v>
      </c>
      <c r="H47" s="85" t="s">
        <v>52</v>
      </c>
      <c r="I47" s="6"/>
      <c r="J47" s="2"/>
      <c r="K47" s="2"/>
    </row>
    <row r="48" spans="1:11" ht="15.45" x14ac:dyDescent="0.4">
      <c r="A48" s="32" t="s">
        <v>53</v>
      </c>
      <c r="B48" s="33"/>
      <c r="C48" s="33"/>
      <c r="D48" s="39">
        <f>H17</f>
        <v>7445</v>
      </c>
      <c r="E48" s="42">
        <f>F39</f>
        <v>82.79</v>
      </c>
      <c r="F48" s="66" t="s">
        <v>171</v>
      </c>
      <c r="G48" s="42">
        <f>H48/G61</f>
        <v>82.79</v>
      </c>
      <c r="H48" s="38">
        <f>D48*E48</f>
        <v>616371.55000000005</v>
      </c>
      <c r="I48" s="6"/>
      <c r="J48" s="2"/>
      <c r="K48" s="2"/>
    </row>
    <row r="49" spans="1:11" ht="15.45" x14ac:dyDescent="0.4">
      <c r="A49" s="32" t="s">
        <v>54</v>
      </c>
      <c r="B49" s="34"/>
      <c r="C49" s="33"/>
      <c r="D49" s="86">
        <f>D5*0.35</f>
        <v>105</v>
      </c>
      <c r="E49" s="34">
        <f>F40</f>
        <v>300</v>
      </c>
      <c r="F49" s="36" t="s">
        <v>55</v>
      </c>
      <c r="G49" s="42">
        <f>H49/G61</f>
        <v>4.2310275352585629</v>
      </c>
      <c r="H49" s="38">
        <f>D49*E49</f>
        <v>31500</v>
      </c>
      <c r="I49" s="2"/>
      <c r="J49" s="2"/>
      <c r="K49" s="2"/>
    </row>
    <row r="50" spans="1:11" ht="15.45" x14ac:dyDescent="0.4">
      <c r="A50" s="32" t="s">
        <v>56</v>
      </c>
      <c r="B50" s="34"/>
      <c r="C50" s="33"/>
      <c r="D50" s="86">
        <v>0</v>
      </c>
      <c r="E50" s="34">
        <f>F41</f>
        <v>200</v>
      </c>
      <c r="F50" s="36" t="s">
        <v>55</v>
      </c>
      <c r="G50" s="42">
        <f>H50/G61</f>
        <v>0</v>
      </c>
      <c r="H50" s="38">
        <f>D50*E50</f>
        <v>0</v>
      </c>
      <c r="I50" s="6"/>
      <c r="J50" s="2"/>
      <c r="K50" s="2"/>
    </row>
    <row r="51" spans="1:11" ht="15.45" x14ac:dyDescent="0.4">
      <c r="A51" s="32" t="s">
        <v>57</v>
      </c>
      <c r="B51" s="34"/>
      <c r="C51" s="45"/>
      <c r="D51" s="42"/>
      <c r="E51" s="39"/>
      <c r="F51" s="33"/>
      <c r="G51" s="42">
        <f>H51/G61</f>
        <v>0</v>
      </c>
      <c r="H51" s="87">
        <v>0</v>
      </c>
      <c r="I51" s="6"/>
      <c r="J51" s="2"/>
      <c r="K51" s="2"/>
    </row>
    <row r="52" spans="1:11" ht="15.45" x14ac:dyDescent="0.4">
      <c r="A52" s="88" t="s">
        <v>58</v>
      </c>
      <c r="B52" s="89" t="s">
        <v>58</v>
      </c>
      <c r="C52" s="36" t="s">
        <v>59</v>
      </c>
      <c r="D52" s="89" t="s">
        <v>58</v>
      </c>
      <c r="E52" s="39"/>
      <c r="F52" s="42"/>
      <c r="G52" s="89" t="s">
        <v>58</v>
      </c>
      <c r="H52" s="90" t="s">
        <v>60</v>
      </c>
      <c r="I52" s="6"/>
      <c r="J52" s="2"/>
      <c r="K52" s="2"/>
    </row>
    <row r="53" spans="1:11" ht="15.45" x14ac:dyDescent="0.4">
      <c r="A53" s="91"/>
      <c r="B53" s="92" t="s">
        <v>163</v>
      </c>
      <c r="C53" s="21"/>
      <c r="D53" s="93">
        <f>D48+D49+D50</f>
        <v>7550</v>
      </c>
      <c r="E53" s="93"/>
      <c r="F53" s="64"/>
      <c r="G53" s="64">
        <f>SUM(G48:G51)</f>
        <v>87.021027535258568</v>
      </c>
      <c r="H53" s="94">
        <f>SUM(H48:H51)</f>
        <v>647871.55000000005</v>
      </c>
      <c r="I53" s="6"/>
      <c r="J53" s="2"/>
      <c r="K53" s="2"/>
    </row>
    <row r="54" spans="1:11" ht="15.45" hidden="1" x14ac:dyDescent="0.4">
      <c r="A54" s="95"/>
      <c r="B54" s="96"/>
      <c r="C54" s="96"/>
      <c r="D54" s="96"/>
      <c r="E54" s="96"/>
      <c r="F54" s="96"/>
      <c r="G54" s="96"/>
      <c r="H54" s="97"/>
      <c r="I54" s="2"/>
      <c r="J54" s="2"/>
      <c r="K54" s="2"/>
    </row>
    <row r="55" spans="1:11" ht="15.45" hidden="1" x14ac:dyDescent="0.4">
      <c r="A55" s="98" t="str">
        <f>IF(D35="Y","Number of Feeders",(IF(D35="N","Kilograms of Pork",#VALUE!)))&amp;" to Base Variable Costs on ==&gt; **"</f>
        <v>Number of Feeders to Base Variable Costs on ==&gt; **</v>
      </c>
      <c r="B55" s="53"/>
      <c r="C55" s="53"/>
      <c r="D55" s="58"/>
      <c r="E55" s="57"/>
      <c r="F55" s="53"/>
      <c r="G55" s="99">
        <f>F42</f>
        <v>7445</v>
      </c>
      <c r="H55" s="100" t="s">
        <v>61</v>
      </c>
      <c r="I55" s="2"/>
      <c r="J55" s="2"/>
      <c r="K55" s="2"/>
    </row>
    <row r="56" spans="1:11" ht="15.45" hidden="1" x14ac:dyDescent="0.4">
      <c r="A56" s="52" t="s">
        <v>62</v>
      </c>
      <c r="B56" s="53"/>
      <c r="C56" s="53"/>
      <c r="D56" s="57"/>
      <c r="E56" s="53"/>
      <c r="F56" s="53"/>
      <c r="G56" s="101" t="str">
        <f>IF(UPPER(LEFT(H55,1))=UPPER(LEFT(E76,1)),"","Choose Pigs or Kg")</f>
        <v/>
      </c>
      <c r="H56" s="59"/>
      <c r="I56" s="2"/>
      <c r="J56" s="2"/>
      <c r="K56" s="2"/>
    </row>
    <row r="57" spans="1:11" ht="15.45" x14ac:dyDescent="0.4">
      <c r="A57" s="102"/>
      <c r="B57" s="27"/>
      <c r="C57" s="26"/>
      <c r="D57" s="103"/>
      <c r="E57" s="104"/>
      <c r="F57" s="26"/>
      <c r="G57" s="26"/>
      <c r="H57" s="105"/>
      <c r="I57" s="2"/>
      <c r="J57" s="2"/>
      <c r="K57" s="2"/>
    </row>
    <row r="58" spans="1:11" ht="15.45" x14ac:dyDescent="0.4">
      <c r="A58" s="16" t="s">
        <v>63</v>
      </c>
      <c r="B58" s="17"/>
      <c r="C58" s="17"/>
      <c r="D58" s="81" t="s">
        <v>64</v>
      </c>
      <c r="E58" s="81" t="s">
        <v>65</v>
      </c>
      <c r="F58" s="106"/>
      <c r="G58" s="106"/>
      <c r="H58" s="107" t="s">
        <v>65</v>
      </c>
      <c r="I58" s="6"/>
      <c r="J58" s="2"/>
      <c r="K58" s="2"/>
    </row>
    <row r="59" spans="1:11" ht="15.45" x14ac:dyDescent="0.4">
      <c r="A59" s="43"/>
      <c r="B59" s="33"/>
      <c r="C59" s="33"/>
      <c r="D59" s="49" t="str">
        <f>"/"&amp;IF(D35="Y","Feeder",(IF(D35="N","Kg Pork",#VALUE!)))</f>
        <v>/Feeder</v>
      </c>
      <c r="E59" s="49" t="str">
        <f>""&amp;FIXED(G55,0,TRUE)&amp;IF(D35="Y"," Pigs",(IF(D35="N"," Kg",#VALUE!)))</f>
        <v>7445 Pigs</v>
      </c>
      <c r="F59" s="42"/>
      <c r="G59" s="34" t="str">
        <f>IF(D35="Y","/Feeder",(IF(D35="N","/Kg Pork",#VALUE!)))</f>
        <v>/Feeder</v>
      </c>
      <c r="H59" s="46" t="str">
        <f>" "&amp;FIXED(G61,0,TRUE)&amp;IF(D35="Y"," Pig",(IF(D35="N","Kg",#VALUE!)))</f>
        <v xml:space="preserve"> 7445 Pig</v>
      </c>
      <c r="I59" s="6"/>
      <c r="J59" s="2"/>
      <c r="K59" s="2"/>
    </row>
    <row r="60" spans="1:11" ht="15.45" x14ac:dyDescent="0.4">
      <c r="A60" s="32" t="s">
        <v>66</v>
      </c>
      <c r="B60" s="33"/>
      <c r="C60" s="33"/>
      <c r="D60" s="36" t="s">
        <v>67</v>
      </c>
      <c r="E60" s="89" t="s">
        <v>58</v>
      </c>
      <c r="F60" s="42"/>
      <c r="G60" s="36" t="s">
        <v>67</v>
      </c>
      <c r="H60" s="90" t="s">
        <v>68</v>
      </c>
      <c r="I60" s="6"/>
      <c r="J60" s="2"/>
      <c r="K60" s="2"/>
    </row>
    <row r="61" spans="1:11" ht="15.45" x14ac:dyDescent="0.4">
      <c r="A61" s="32" t="s">
        <v>192</v>
      </c>
      <c r="B61" s="33"/>
      <c r="C61" s="33"/>
      <c r="D61" s="42"/>
      <c r="E61" s="39"/>
      <c r="F61" s="42"/>
      <c r="G61" s="108">
        <f>IF(D36="N",H17,IF(D36="Y",H17*D16,#VALUE!))</f>
        <v>7445</v>
      </c>
      <c r="H61" s="38"/>
      <c r="I61" s="6"/>
      <c r="J61" s="2"/>
      <c r="K61" s="2"/>
    </row>
    <row r="62" spans="1:11" ht="15.45" x14ac:dyDescent="0.4">
      <c r="A62" s="32" t="s">
        <v>173</v>
      </c>
      <c r="B62" s="34"/>
      <c r="C62" s="33"/>
      <c r="D62" s="67">
        <v>3.71</v>
      </c>
      <c r="E62" s="109">
        <v>0</v>
      </c>
      <c r="F62" s="42"/>
      <c r="G62" s="42">
        <f>IF(D62=0,E62/$G$61,D62)</f>
        <v>3.71</v>
      </c>
      <c r="H62" s="38">
        <f>G62*G61</f>
        <v>27620.95</v>
      </c>
      <c r="I62" s="6"/>
      <c r="J62" s="2"/>
      <c r="K62" s="2"/>
    </row>
    <row r="63" spans="1:11" ht="15.45" x14ac:dyDescent="0.4">
      <c r="A63" s="32" t="s">
        <v>174</v>
      </c>
      <c r="B63" s="34"/>
      <c r="C63" s="33"/>
      <c r="D63" s="67">
        <v>5.18</v>
      </c>
      <c r="E63" s="109">
        <v>0</v>
      </c>
      <c r="F63" s="33"/>
      <c r="G63" s="42">
        <f t="shared" ref="G63:G73" si="0">IF(D63=0,E63/$G$61,D63)</f>
        <v>5.18</v>
      </c>
      <c r="H63" s="38">
        <f>G63*G61</f>
        <v>38565.1</v>
      </c>
      <c r="I63" s="5"/>
      <c r="J63" s="2"/>
      <c r="K63" s="2"/>
    </row>
    <row r="64" spans="1:11" ht="15.45" x14ac:dyDescent="0.4">
      <c r="A64" s="32" t="s">
        <v>175</v>
      </c>
      <c r="B64" s="34"/>
      <c r="C64" s="33"/>
      <c r="D64" s="67">
        <v>13.52</v>
      </c>
      <c r="E64" s="109">
        <v>0</v>
      </c>
      <c r="F64" s="42"/>
      <c r="G64" s="42">
        <f t="shared" si="0"/>
        <v>13.52</v>
      </c>
      <c r="H64" s="38">
        <f>G64*G61</f>
        <v>100656.4</v>
      </c>
      <c r="I64" s="5"/>
      <c r="J64" s="2"/>
      <c r="K64" s="2"/>
    </row>
    <row r="65" spans="1:11" ht="15.45" x14ac:dyDescent="0.4">
      <c r="A65" s="32" t="s">
        <v>69</v>
      </c>
      <c r="B65" s="33"/>
      <c r="C65" s="34"/>
      <c r="D65" s="67">
        <v>0</v>
      </c>
      <c r="E65" s="109">
        <v>0</v>
      </c>
      <c r="F65" s="42"/>
      <c r="G65" s="42">
        <f t="shared" si="0"/>
        <v>0</v>
      </c>
      <c r="H65" s="38">
        <f>G65*G61</f>
        <v>0</v>
      </c>
      <c r="I65" s="5"/>
      <c r="J65" s="2"/>
      <c r="K65" s="2"/>
    </row>
    <row r="66" spans="1:11" ht="15.45" x14ac:dyDescent="0.4">
      <c r="A66" s="32" t="s">
        <v>70</v>
      </c>
      <c r="B66" s="33"/>
      <c r="C66" s="33"/>
      <c r="D66" s="67">
        <v>13.65</v>
      </c>
      <c r="E66" s="109">
        <v>0</v>
      </c>
      <c r="F66" s="33"/>
      <c r="G66" s="42">
        <f t="shared" si="0"/>
        <v>13.65</v>
      </c>
      <c r="H66" s="38">
        <f>G66*G61</f>
        <v>101624.25</v>
      </c>
      <c r="I66" s="2"/>
      <c r="J66" s="2"/>
      <c r="K66" s="2"/>
    </row>
    <row r="67" spans="1:11" ht="15.45" x14ac:dyDescent="0.4">
      <c r="A67" s="32" t="s">
        <v>71</v>
      </c>
      <c r="B67" s="33"/>
      <c r="C67" s="34"/>
      <c r="D67" s="67">
        <v>8.27</v>
      </c>
      <c r="E67" s="109">
        <v>0</v>
      </c>
      <c r="F67" s="47"/>
      <c r="G67" s="42">
        <f t="shared" si="0"/>
        <v>8.27</v>
      </c>
      <c r="H67" s="38">
        <f>G67*G61</f>
        <v>61570.149999999994</v>
      </c>
      <c r="I67" s="6"/>
      <c r="J67" s="2"/>
      <c r="K67" s="2"/>
    </row>
    <row r="68" spans="1:11" ht="15.45" x14ac:dyDescent="0.4">
      <c r="A68" s="32" t="s">
        <v>72</v>
      </c>
      <c r="B68" s="110" t="s">
        <v>73</v>
      </c>
      <c r="C68" s="111"/>
      <c r="D68" s="67">
        <v>0</v>
      </c>
      <c r="E68" s="109">
        <v>0</v>
      </c>
      <c r="F68" s="33"/>
      <c r="G68" s="42">
        <f t="shared" si="0"/>
        <v>0</v>
      </c>
      <c r="H68" s="38">
        <f>G68*G61</f>
        <v>0</v>
      </c>
      <c r="I68" s="2"/>
      <c r="J68" s="2"/>
      <c r="K68" s="2"/>
    </row>
    <row r="69" spans="1:11" ht="15.45" x14ac:dyDescent="0.4">
      <c r="A69" s="32" t="s">
        <v>74</v>
      </c>
      <c r="B69" s="110" t="s">
        <v>75</v>
      </c>
      <c r="C69" s="111"/>
      <c r="D69" s="67">
        <v>0</v>
      </c>
      <c r="E69" s="109">
        <v>0</v>
      </c>
      <c r="F69" s="42"/>
      <c r="G69" s="42">
        <f t="shared" si="0"/>
        <v>0</v>
      </c>
      <c r="H69" s="38">
        <f>G69*G61</f>
        <v>0</v>
      </c>
      <c r="I69" s="2"/>
      <c r="J69" s="2"/>
      <c r="K69" s="2"/>
    </row>
    <row r="70" spans="1:11" ht="15.45" x14ac:dyDescent="0.4">
      <c r="A70" s="32" t="s">
        <v>76</v>
      </c>
      <c r="B70" s="110" t="s">
        <v>77</v>
      </c>
      <c r="C70" s="111"/>
      <c r="D70" s="67">
        <v>0</v>
      </c>
      <c r="E70" s="109">
        <v>0</v>
      </c>
      <c r="F70" s="42"/>
      <c r="G70" s="42">
        <f t="shared" si="0"/>
        <v>0</v>
      </c>
      <c r="H70" s="38">
        <f>G70*G61</f>
        <v>0</v>
      </c>
      <c r="I70" s="2"/>
      <c r="J70" s="2"/>
      <c r="K70" s="2"/>
    </row>
    <row r="71" spans="1:11" ht="15.45" x14ac:dyDescent="0.4">
      <c r="A71" s="32" t="s">
        <v>78</v>
      </c>
      <c r="B71" s="33"/>
      <c r="C71" s="33"/>
      <c r="D71" s="67">
        <v>0</v>
      </c>
      <c r="E71" s="109">
        <v>0</v>
      </c>
      <c r="F71" s="33"/>
      <c r="G71" s="42">
        <f t="shared" si="0"/>
        <v>0</v>
      </c>
      <c r="H71" s="38">
        <f>G71*G61</f>
        <v>0</v>
      </c>
      <c r="I71" s="2"/>
      <c r="J71" s="2"/>
      <c r="K71" s="2"/>
    </row>
    <row r="72" spans="1:11" ht="15.45" x14ac:dyDescent="0.4">
      <c r="A72" s="32" t="s">
        <v>79</v>
      </c>
      <c r="B72" s="34"/>
      <c r="C72" s="33"/>
      <c r="D72" s="67">
        <v>0</v>
      </c>
      <c r="E72" s="109">
        <v>0</v>
      </c>
      <c r="F72" s="33"/>
      <c r="G72" s="42">
        <f t="shared" si="0"/>
        <v>0</v>
      </c>
      <c r="H72" s="38">
        <f>G72*G61</f>
        <v>0</v>
      </c>
      <c r="I72" s="2"/>
      <c r="J72" s="2"/>
      <c r="K72" s="2"/>
    </row>
    <row r="73" spans="1:11" ht="15.45" x14ac:dyDescent="0.4">
      <c r="A73" s="32" t="s">
        <v>80</v>
      </c>
      <c r="B73" s="110" t="s">
        <v>81</v>
      </c>
      <c r="C73" s="111"/>
      <c r="D73" s="67">
        <v>0</v>
      </c>
      <c r="E73" s="109">
        <v>0</v>
      </c>
      <c r="F73" s="42"/>
      <c r="G73" s="42">
        <f t="shared" si="0"/>
        <v>0</v>
      </c>
      <c r="H73" s="38">
        <f>G73*G61</f>
        <v>0</v>
      </c>
      <c r="I73" s="6"/>
      <c r="J73" s="2"/>
      <c r="K73" s="2"/>
    </row>
    <row r="74" spans="1:11" ht="15.45" hidden="1" x14ac:dyDescent="0.4">
      <c r="A74" s="32"/>
      <c r="B74" s="33"/>
      <c r="C74" s="33"/>
      <c r="D74" s="33"/>
      <c r="E74" s="34"/>
      <c r="F74" s="42"/>
      <c r="G74" s="42"/>
      <c r="H74" s="51"/>
      <c r="I74" s="6"/>
      <c r="J74" s="2"/>
      <c r="K74" s="2"/>
    </row>
    <row r="75" spans="1:11" ht="15.45" hidden="1" x14ac:dyDescent="0.4">
      <c r="A75" s="52" t="s">
        <v>82</v>
      </c>
      <c r="B75" s="53"/>
      <c r="C75" s="53"/>
      <c r="D75" s="57"/>
      <c r="E75" s="57"/>
      <c r="F75" s="58"/>
      <c r="G75" s="57"/>
      <c r="H75" s="56"/>
      <c r="I75" s="6"/>
      <c r="J75" s="2"/>
      <c r="K75" s="2"/>
    </row>
    <row r="76" spans="1:11" ht="15.45" hidden="1" x14ac:dyDescent="0.4">
      <c r="A76" s="52" t="s">
        <v>83</v>
      </c>
      <c r="B76" s="53"/>
      <c r="C76" s="53"/>
      <c r="D76" s="99">
        <f>F42</f>
        <v>7445</v>
      </c>
      <c r="E76" s="57" t="str">
        <f>IF(D35="Y","Feeders)",(IF(D35="N","Kg Pork)",#VALUE!)))</f>
        <v>Feeders)</v>
      </c>
      <c r="F76" s="58"/>
      <c r="G76" s="58">
        <v>0</v>
      </c>
      <c r="H76" s="59">
        <v>0</v>
      </c>
      <c r="I76" s="6"/>
      <c r="J76" s="2"/>
      <c r="K76" s="2"/>
    </row>
    <row r="77" spans="1:11" ht="15.45" hidden="1" x14ac:dyDescent="0.4">
      <c r="A77" s="52"/>
      <c r="B77" s="53"/>
      <c r="C77" s="53"/>
      <c r="D77" s="112"/>
      <c r="E77" s="60"/>
      <c r="F77" s="53"/>
      <c r="G77" s="58"/>
      <c r="H77" s="59"/>
      <c r="I77" s="2"/>
      <c r="J77" s="2"/>
      <c r="K77" s="2"/>
    </row>
    <row r="78" spans="1:11" ht="15.45" hidden="1" x14ac:dyDescent="0.4">
      <c r="A78" s="52"/>
      <c r="B78" s="113" t="s">
        <v>84</v>
      </c>
      <c r="C78" s="53"/>
      <c r="D78" s="112"/>
      <c r="E78" s="60"/>
      <c r="F78" s="58"/>
      <c r="G78" s="58"/>
      <c r="H78" s="59"/>
      <c r="I78" s="14"/>
      <c r="J78" s="2"/>
      <c r="K78" s="2"/>
    </row>
    <row r="79" spans="1:11" ht="15.45" hidden="1" x14ac:dyDescent="0.4">
      <c r="A79" s="52" t="s">
        <v>72</v>
      </c>
      <c r="B79" s="114" t="s">
        <v>85</v>
      </c>
      <c r="C79" s="57"/>
      <c r="D79" s="115">
        <v>0</v>
      </c>
      <c r="E79" s="101">
        <v>0</v>
      </c>
      <c r="F79" s="57"/>
      <c r="G79" s="58">
        <f>E79/G55</f>
        <v>0</v>
      </c>
      <c r="H79" s="59">
        <f>G79*G61</f>
        <v>0</v>
      </c>
      <c r="I79" s="2"/>
      <c r="J79" s="2"/>
      <c r="K79" s="2"/>
    </row>
    <row r="80" spans="1:11" ht="15.45" hidden="1" x14ac:dyDescent="0.4">
      <c r="A80" s="52" t="s">
        <v>74</v>
      </c>
      <c r="B80" s="114" t="s">
        <v>77</v>
      </c>
      <c r="C80" s="57"/>
      <c r="D80" s="115">
        <v>0</v>
      </c>
      <c r="E80" s="101">
        <v>0</v>
      </c>
      <c r="F80" s="53"/>
      <c r="G80" s="58">
        <f>E80/G55</f>
        <v>0</v>
      </c>
      <c r="H80" s="59">
        <f>G80*G61</f>
        <v>0</v>
      </c>
      <c r="I80" s="2"/>
      <c r="J80" s="2"/>
      <c r="K80" s="2"/>
    </row>
    <row r="81" spans="1:11" ht="15.45" hidden="1" x14ac:dyDescent="0.4">
      <c r="A81" s="52" t="s">
        <v>76</v>
      </c>
      <c r="B81" s="114" t="s">
        <v>77</v>
      </c>
      <c r="C81" s="57"/>
      <c r="D81" s="115">
        <v>0</v>
      </c>
      <c r="E81" s="101">
        <v>0</v>
      </c>
      <c r="F81" s="57"/>
      <c r="G81" s="58">
        <f>E81/G55</f>
        <v>0</v>
      </c>
      <c r="H81" s="59">
        <f>G81*G61</f>
        <v>0</v>
      </c>
      <c r="I81" s="4"/>
      <c r="J81" s="2"/>
      <c r="K81" s="2"/>
    </row>
    <row r="82" spans="1:11" ht="15.45" x14ac:dyDescent="0.4">
      <c r="A82" s="43"/>
      <c r="B82" s="33"/>
      <c r="C82" s="33"/>
      <c r="D82" s="116"/>
      <c r="E82" s="39"/>
      <c r="F82" s="33"/>
      <c r="G82" s="36" t="s">
        <v>67</v>
      </c>
      <c r="H82" s="90" t="s">
        <v>68</v>
      </c>
      <c r="I82" s="2"/>
      <c r="J82" s="2"/>
      <c r="K82" s="2"/>
    </row>
    <row r="83" spans="1:11" ht="15.45" x14ac:dyDescent="0.4">
      <c r="A83" s="32" t="s">
        <v>86</v>
      </c>
      <c r="B83" s="33"/>
      <c r="C83" s="33"/>
      <c r="D83" s="116"/>
      <c r="E83" s="39"/>
      <c r="F83" s="69"/>
      <c r="G83" s="42">
        <f>H83/G61</f>
        <v>44.33</v>
      </c>
      <c r="H83" s="38">
        <f>SUM(H62:H81)</f>
        <v>330036.84999999998</v>
      </c>
      <c r="I83" s="6"/>
      <c r="J83" s="2"/>
      <c r="K83" s="2"/>
    </row>
    <row r="84" spans="1:11" ht="15.45" x14ac:dyDescent="0.4">
      <c r="A84" s="43"/>
      <c r="B84" s="33"/>
      <c r="C84" s="33"/>
      <c r="D84" s="116"/>
      <c r="E84" s="39"/>
      <c r="F84" s="42"/>
      <c r="G84" s="42"/>
      <c r="H84" s="38"/>
      <c r="I84" s="6"/>
      <c r="J84" s="2"/>
      <c r="K84" s="2"/>
    </row>
    <row r="85" spans="1:11" ht="15.45" x14ac:dyDescent="0.4">
      <c r="A85" s="43"/>
      <c r="B85" s="33"/>
      <c r="C85" s="33"/>
      <c r="D85" s="116"/>
      <c r="E85" s="39"/>
      <c r="F85" s="33"/>
      <c r="G85" s="42"/>
      <c r="H85" s="117" t="s">
        <v>65</v>
      </c>
      <c r="I85" s="2"/>
      <c r="J85" s="2"/>
      <c r="K85" s="2"/>
    </row>
    <row r="86" spans="1:11" ht="15.45" x14ac:dyDescent="0.4">
      <c r="A86" s="32" t="s">
        <v>87</v>
      </c>
      <c r="B86" s="33"/>
      <c r="C86" s="33"/>
      <c r="D86" s="118" t="s">
        <v>50</v>
      </c>
      <c r="E86" s="118" t="s">
        <v>88</v>
      </c>
      <c r="F86" s="42"/>
      <c r="G86" s="34" t="str">
        <f>G59</f>
        <v>/Feeder</v>
      </c>
      <c r="H86" s="46" t="str">
        <f>" "&amp;FIXED(G61,0,TRUE)&amp;IF(D35="Y"," Pig",(IF(D35="N","Kg",#VALUE!)))</f>
        <v xml:space="preserve"> 7445 Pig</v>
      </c>
      <c r="I86" s="6"/>
      <c r="J86" s="2"/>
      <c r="K86" s="2"/>
    </row>
    <row r="87" spans="1:11" ht="15.45" x14ac:dyDescent="0.4">
      <c r="A87" s="32" t="s">
        <v>89</v>
      </c>
      <c r="B87" s="34"/>
      <c r="C87" s="33"/>
      <c r="D87" s="30">
        <v>0</v>
      </c>
      <c r="E87" s="30">
        <v>520</v>
      </c>
      <c r="F87" s="42"/>
      <c r="G87" s="42">
        <f>(D87*E87)/G55</f>
        <v>0</v>
      </c>
      <c r="H87" s="38">
        <f>G87*G61</f>
        <v>0</v>
      </c>
      <c r="I87" s="6"/>
      <c r="J87" s="2"/>
      <c r="K87" s="2"/>
    </row>
    <row r="88" spans="1:11" ht="15.45" x14ac:dyDescent="0.4">
      <c r="A88" s="32" t="s">
        <v>90</v>
      </c>
      <c r="B88" s="33"/>
      <c r="C88" s="33"/>
      <c r="D88" s="30">
        <f>D5*0.42</f>
        <v>126</v>
      </c>
      <c r="E88" s="30">
        <v>376.4</v>
      </c>
      <c r="F88" s="33"/>
      <c r="G88" s="42">
        <f>(D88*E88)/G55</f>
        <v>6.3702350570852913</v>
      </c>
      <c r="H88" s="38">
        <f>G88*G61</f>
        <v>47426.399999999994</v>
      </c>
      <c r="I88" s="2"/>
      <c r="J88" s="2"/>
      <c r="K88" s="2"/>
    </row>
    <row r="89" spans="1:11" ht="15.45" x14ac:dyDescent="0.4">
      <c r="A89" s="32" t="s">
        <v>91</v>
      </c>
      <c r="B89" s="110" t="s">
        <v>92</v>
      </c>
      <c r="C89" s="119"/>
      <c r="D89" s="30">
        <v>0</v>
      </c>
      <c r="E89" s="30">
        <v>0</v>
      </c>
      <c r="F89" s="42"/>
      <c r="G89" s="42">
        <f>(D89*E89)/G55</f>
        <v>0</v>
      </c>
      <c r="H89" s="38">
        <f>G89*G61</f>
        <v>0</v>
      </c>
      <c r="I89" s="6"/>
      <c r="J89" s="2"/>
      <c r="K89" s="2"/>
    </row>
    <row r="90" spans="1:11" ht="15.45" x14ac:dyDescent="0.4">
      <c r="A90" s="43"/>
      <c r="B90" s="39"/>
      <c r="C90" s="33"/>
      <c r="D90" s="42"/>
      <c r="E90" s="39"/>
      <c r="F90" s="42"/>
      <c r="G90" s="42"/>
      <c r="H90" s="38"/>
      <c r="I90" s="6"/>
      <c r="J90" s="2"/>
      <c r="K90" s="2"/>
    </row>
    <row r="91" spans="1:11" ht="15.45" x14ac:dyDescent="0.4">
      <c r="A91" s="43"/>
      <c r="B91" s="33"/>
      <c r="C91" s="33"/>
      <c r="D91" s="49" t="s">
        <v>64</v>
      </c>
      <c r="E91" s="49" t="s">
        <v>65</v>
      </c>
      <c r="F91" s="33"/>
      <c r="G91" s="42"/>
      <c r="H91" s="117" t="s">
        <v>65</v>
      </c>
      <c r="I91" s="6"/>
      <c r="J91" s="2"/>
      <c r="K91" s="2"/>
    </row>
    <row r="92" spans="1:11" ht="15.45" x14ac:dyDescent="0.4">
      <c r="A92" s="43"/>
      <c r="B92" s="39"/>
      <c r="C92" s="33"/>
      <c r="D92" s="49" t="str">
        <f>"/"&amp;IF(D35="Y","Feeder",(IF(D35="N","Kg Pork",#VALUE!)))</f>
        <v>/Feeder</v>
      </c>
      <c r="E92" s="49" t="str">
        <f>""&amp;FIXED(G55,0,TRUE)&amp;IF(D35="Y"," Pigs",(IF(D35="N"," Kg",#VALUE!)))</f>
        <v>7445 Pigs</v>
      </c>
      <c r="F92" s="42"/>
      <c r="G92" s="34" t="str">
        <f>IF(D35="Y","/Feeder",(IF(D35="N","/Kg Pork",#VALUE!)))</f>
        <v>/Feeder</v>
      </c>
      <c r="H92" s="46" t="str">
        <f>" "&amp;FIXED(G61,0,TRUE)&amp;IF(D35="Y"," Pig",(IF(D35="N","Kg",#VALUE!)))</f>
        <v xml:space="preserve"> 7445 Pig</v>
      </c>
      <c r="I92" s="6"/>
      <c r="J92" s="3"/>
      <c r="K92" s="2"/>
    </row>
    <row r="93" spans="1:11" ht="15.45" x14ac:dyDescent="0.4">
      <c r="A93" s="32" t="s">
        <v>93</v>
      </c>
      <c r="B93" s="39"/>
      <c r="C93" s="33"/>
      <c r="D93" s="120">
        <v>9.25</v>
      </c>
      <c r="E93" s="109">
        <v>0</v>
      </c>
      <c r="F93" s="33"/>
      <c r="G93" s="42">
        <f>IF(D93=0,E93/$G$61,D93)</f>
        <v>9.25</v>
      </c>
      <c r="H93" s="38">
        <f>G93*G61</f>
        <v>68866.25</v>
      </c>
      <c r="I93" s="2"/>
      <c r="J93" s="3"/>
      <c r="K93" s="2"/>
    </row>
    <row r="94" spans="1:11" ht="15.45" x14ac:dyDescent="0.4">
      <c r="A94" s="32" t="s">
        <v>94</v>
      </c>
      <c r="B94" s="39"/>
      <c r="C94" s="33"/>
      <c r="D94" s="120">
        <v>4.6399999999999997</v>
      </c>
      <c r="E94" s="109">
        <v>0</v>
      </c>
      <c r="F94" s="33"/>
      <c r="G94" s="42">
        <f t="shared" ref="G94:G102" si="1">IF(D94=0,E94/$G$61,D94)</f>
        <v>4.6399999999999997</v>
      </c>
      <c r="H94" s="38">
        <f>G94*G61</f>
        <v>34544.799999999996</v>
      </c>
      <c r="I94" s="3"/>
      <c r="J94" s="3"/>
      <c r="K94" s="2"/>
    </row>
    <row r="95" spans="1:11" ht="15.45" x14ac:dyDescent="0.4">
      <c r="A95" s="32" t="s">
        <v>95</v>
      </c>
      <c r="B95" s="39"/>
      <c r="C95" s="33"/>
      <c r="D95" s="120">
        <v>1.99</v>
      </c>
      <c r="E95" s="109">
        <v>0</v>
      </c>
      <c r="F95" s="33"/>
      <c r="G95" s="42">
        <f t="shared" si="1"/>
        <v>1.99</v>
      </c>
      <c r="H95" s="38">
        <f>G95*G61</f>
        <v>14815.55</v>
      </c>
      <c r="I95" s="3"/>
      <c r="J95" s="3"/>
      <c r="K95" s="2"/>
    </row>
    <row r="96" spans="1:11" ht="15.45" x14ac:dyDescent="0.4">
      <c r="A96" s="32" t="s">
        <v>96</v>
      </c>
      <c r="B96" s="33"/>
      <c r="C96" s="33"/>
      <c r="D96" s="120">
        <v>0</v>
      </c>
      <c r="E96" s="109">
        <v>0</v>
      </c>
      <c r="F96" s="33"/>
      <c r="G96" s="42">
        <f t="shared" si="1"/>
        <v>0</v>
      </c>
      <c r="H96" s="38">
        <f>G96*G61</f>
        <v>0</v>
      </c>
      <c r="I96" s="3"/>
      <c r="J96" s="3"/>
      <c r="K96" s="2"/>
    </row>
    <row r="97" spans="1:11" ht="15.45" x14ac:dyDescent="0.4">
      <c r="A97" s="32" t="s">
        <v>97</v>
      </c>
      <c r="B97" s="33"/>
      <c r="C97" s="34"/>
      <c r="D97" s="120">
        <v>1.01</v>
      </c>
      <c r="E97" s="109">
        <v>0</v>
      </c>
      <c r="F97" s="39"/>
      <c r="G97" s="42">
        <f t="shared" si="1"/>
        <v>1.01</v>
      </c>
      <c r="H97" s="38">
        <f>G97*G61</f>
        <v>7519.45</v>
      </c>
      <c r="I97" s="2"/>
      <c r="J97" s="2"/>
      <c r="K97" s="2"/>
    </row>
    <row r="98" spans="1:11" ht="15.45" x14ac:dyDescent="0.4">
      <c r="A98" s="32" t="s">
        <v>98</v>
      </c>
      <c r="B98" s="33"/>
      <c r="C98" s="33"/>
      <c r="D98" s="120">
        <v>2.19</v>
      </c>
      <c r="E98" s="109">
        <v>0</v>
      </c>
      <c r="F98" s="33"/>
      <c r="G98" s="42">
        <f t="shared" si="1"/>
        <v>2.19</v>
      </c>
      <c r="H98" s="38">
        <f>G98*G61</f>
        <v>16304.55</v>
      </c>
      <c r="I98" s="3"/>
      <c r="J98" s="2"/>
      <c r="K98" s="2"/>
    </row>
    <row r="99" spans="1:11" ht="15.45" x14ac:dyDescent="0.4">
      <c r="A99" s="32" t="s">
        <v>99</v>
      </c>
      <c r="B99" s="33"/>
      <c r="C99" s="33"/>
      <c r="D99" s="120">
        <v>0</v>
      </c>
      <c r="E99" s="109">
        <v>0</v>
      </c>
      <c r="F99" s="39"/>
      <c r="G99" s="42">
        <f t="shared" si="1"/>
        <v>0</v>
      </c>
      <c r="H99" s="38">
        <f>G99*G61</f>
        <v>0</v>
      </c>
      <c r="I99" s="3"/>
      <c r="J99" s="2"/>
      <c r="K99" s="2"/>
    </row>
    <row r="100" spans="1:11" ht="15.45" x14ac:dyDescent="0.4">
      <c r="A100" s="32" t="s">
        <v>100</v>
      </c>
      <c r="B100" s="121" t="s">
        <v>176</v>
      </c>
      <c r="C100" s="122"/>
      <c r="D100" s="120">
        <v>0</v>
      </c>
      <c r="E100" s="109">
        <v>0</v>
      </c>
      <c r="F100" s="39"/>
      <c r="G100" s="42">
        <f t="shared" si="1"/>
        <v>0</v>
      </c>
      <c r="H100" s="38">
        <f>G100*G61</f>
        <v>0</v>
      </c>
      <c r="I100" s="3"/>
      <c r="J100" s="2"/>
      <c r="K100" s="2"/>
    </row>
    <row r="101" spans="1:11" ht="15.45" x14ac:dyDescent="0.4">
      <c r="A101" s="32" t="s">
        <v>101</v>
      </c>
      <c r="B101" s="33"/>
      <c r="C101" s="33"/>
      <c r="D101" s="120">
        <v>0</v>
      </c>
      <c r="E101" s="109">
        <v>0</v>
      </c>
      <c r="F101" s="33"/>
      <c r="G101" s="42">
        <f t="shared" si="1"/>
        <v>0</v>
      </c>
      <c r="H101" s="38">
        <f>G101*G61</f>
        <v>0</v>
      </c>
      <c r="I101" s="2"/>
      <c r="J101" s="2"/>
      <c r="K101" s="2"/>
    </row>
    <row r="102" spans="1:11" ht="15.45" x14ac:dyDescent="0.4">
      <c r="A102" s="32" t="s">
        <v>177</v>
      </c>
      <c r="B102" s="33"/>
      <c r="C102" s="47"/>
      <c r="D102" s="120">
        <v>4.51</v>
      </c>
      <c r="E102" s="109">
        <v>0</v>
      </c>
      <c r="F102" s="123"/>
      <c r="G102" s="42">
        <f t="shared" si="1"/>
        <v>4.51</v>
      </c>
      <c r="H102" s="38">
        <f>G102*G61</f>
        <v>33576.949999999997</v>
      </c>
      <c r="I102" s="2"/>
      <c r="J102" s="5"/>
      <c r="K102" s="2"/>
    </row>
    <row r="103" spans="1:11" ht="15.45" x14ac:dyDescent="0.4">
      <c r="A103" s="43"/>
      <c r="B103" s="33"/>
      <c r="C103" s="47"/>
      <c r="D103" s="42"/>
      <c r="E103" s="39"/>
      <c r="F103" s="123"/>
      <c r="G103" s="42"/>
      <c r="H103" s="38"/>
      <c r="I103" s="3"/>
      <c r="J103" s="2"/>
      <c r="K103" s="2"/>
    </row>
    <row r="104" spans="1:11" ht="15.45" x14ac:dyDescent="0.4">
      <c r="A104" s="32"/>
      <c r="B104" s="33"/>
      <c r="C104" s="33"/>
      <c r="D104" s="42"/>
      <c r="E104" s="39"/>
      <c r="F104" s="123"/>
      <c r="G104" s="42"/>
      <c r="H104" s="38"/>
      <c r="I104" s="3"/>
      <c r="J104" s="2"/>
      <c r="K104" s="2"/>
    </row>
    <row r="105" spans="1:11" ht="15.45" x14ac:dyDescent="0.4">
      <c r="A105" s="43"/>
      <c r="B105" s="33"/>
      <c r="C105" s="33"/>
      <c r="D105" s="49" t="s">
        <v>64</v>
      </c>
      <c r="E105" s="49" t="s">
        <v>65</v>
      </c>
      <c r="F105" s="42"/>
      <c r="G105" s="42"/>
      <c r="H105" s="117" t="s">
        <v>65</v>
      </c>
      <c r="I105" s="3"/>
      <c r="J105" s="2"/>
      <c r="K105" s="2"/>
    </row>
    <row r="106" spans="1:11" ht="15.45" x14ac:dyDescent="0.4">
      <c r="A106" s="41"/>
      <c r="B106" s="33"/>
      <c r="C106" s="33"/>
      <c r="D106" s="49" t="str">
        <f>"/"&amp;IF(D35="Y","Feeder",(IF(D35="N","Kg Pork",#VALUE!)))</f>
        <v>/Feeder</v>
      </c>
      <c r="E106" s="108" t="s">
        <v>102</v>
      </c>
      <c r="F106" s="39"/>
      <c r="G106" s="49" t="str">
        <f>G59</f>
        <v>/Feeder</v>
      </c>
      <c r="H106" s="85" t="str">
        <f>" "&amp;FIXED(G61,0,TRUE)&amp;IF(D35="Y"," Pig",(IF(D35="N","Kg",#VALUE!)))</f>
        <v xml:space="preserve"> 7445 Pig</v>
      </c>
      <c r="I106" s="3"/>
      <c r="J106" s="2"/>
      <c r="K106" s="2"/>
    </row>
    <row r="107" spans="1:11" ht="15.45" x14ac:dyDescent="0.4">
      <c r="A107" s="32" t="s">
        <v>103</v>
      </c>
      <c r="B107" s="33"/>
      <c r="C107" s="39"/>
      <c r="D107" s="67">
        <v>0</v>
      </c>
      <c r="E107" s="67">
        <v>0</v>
      </c>
      <c r="F107" s="39"/>
      <c r="G107" s="42">
        <f>IF(D107=0,E107/$G$61,D107)</f>
        <v>0</v>
      </c>
      <c r="H107" s="38">
        <f>G107*$G$61</f>
        <v>0</v>
      </c>
      <c r="I107" s="3"/>
      <c r="J107" s="2"/>
      <c r="K107" s="2"/>
    </row>
    <row r="108" spans="1:11" ht="15.45" x14ac:dyDescent="0.4">
      <c r="A108" s="32" t="s">
        <v>104</v>
      </c>
      <c r="B108" s="33"/>
      <c r="C108" s="33"/>
      <c r="D108" s="67">
        <v>0</v>
      </c>
      <c r="E108" s="67">
        <v>0</v>
      </c>
      <c r="F108" s="33"/>
      <c r="G108" s="42">
        <f>IF(D108=0,E108/$G$61,D108)</f>
        <v>0</v>
      </c>
      <c r="H108" s="38">
        <f>G108*$G$61</f>
        <v>0</v>
      </c>
      <c r="I108" s="3"/>
      <c r="J108" s="2"/>
      <c r="K108" s="1" t="s">
        <v>152</v>
      </c>
    </row>
    <row r="109" spans="1:11" ht="15.45" x14ac:dyDescent="0.4">
      <c r="A109" s="32" t="s">
        <v>105</v>
      </c>
      <c r="B109" s="42"/>
      <c r="C109" s="39"/>
      <c r="D109" s="67">
        <v>2.81</v>
      </c>
      <c r="E109" s="67">
        <v>0</v>
      </c>
      <c r="F109" s="33"/>
      <c r="G109" s="42">
        <f>IF(D109=0,E109/$G$61,D109)</f>
        <v>2.81</v>
      </c>
      <c r="H109" s="38">
        <f>G109*$G$61</f>
        <v>20920.45</v>
      </c>
      <c r="I109" s="3"/>
      <c r="J109" s="2"/>
      <c r="K109" s="1" t="s">
        <v>153</v>
      </c>
    </row>
    <row r="110" spans="1:11" ht="15.45" x14ac:dyDescent="0.4">
      <c r="A110" s="32" t="s">
        <v>193</v>
      </c>
      <c r="B110" s="42"/>
      <c r="C110" s="39"/>
      <c r="D110" s="67">
        <f>IF(D35="Y",0,(IF(D35="N",0/D16,#VALUE!)))</f>
        <v>0</v>
      </c>
      <c r="E110" s="67">
        <v>0</v>
      </c>
      <c r="F110" s="39"/>
      <c r="G110" s="42">
        <f>IF(D110=0,E110/$G$61,D110)</f>
        <v>0</v>
      </c>
      <c r="H110" s="38">
        <f>G110*$G$61</f>
        <v>0</v>
      </c>
      <c r="I110" s="3"/>
      <c r="J110" s="2"/>
      <c r="K110" s="1" t="s">
        <v>154</v>
      </c>
    </row>
    <row r="111" spans="1:11" ht="15.45" x14ac:dyDescent="0.4">
      <c r="A111" s="32" t="s">
        <v>106</v>
      </c>
      <c r="B111" s="42"/>
      <c r="C111" s="39"/>
      <c r="D111" s="67">
        <v>1.1599999999999999</v>
      </c>
      <c r="E111" s="67">
        <v>0</v>
      </c>
      <c r="F111" s="34"/>
      <c r="G111" s="42">
        <f>IF(D111=0,E111/$G$61,D111)</f>
        <v>1.1599999999999999</v>
      </c>
      <c r="H111" s="38">
        <f>G111*$G$61</f>
        <v>8636.1999999999989</v>
      </c>
      <c r="I111" s="3"/>
      <c r="J111" s="2"/>
      <c r="K111" s="1" t="s">
        <v>155</v>
      </c>
    </row>
    <row r="112" spans="1:11" ht="15.45" x14ac:dyDescent="0.4">
      <c r="A112" s="32" t="s">
        <v>107</v>
      </c>
      <c r="B112" s="42"/>
      <c r="C112" s="118" t="s">
        <v>108</v>
      </c>
      <c r="D112" s="118" t="s">
        <v>109</v>
      </c>
      <c r="E112" s="108"/>
      <c r="F112" s="39"/>
      <c r="G112" s="108"/>
      <c r="H112" s="35"/>
      <c r="I112" s="3"/>
      <c r="J112" s="2"/>
      <c r="K112" s="1" t="s">
        <v>156</v>
      </c>
    </row>
    <row r="113" spans="1:11" ht="15.45" x14ac:dyDescent="0.4">
      <c r="A113" s="32" t="s">
        <v>110</v>
      </c>
      <c r="B113" s="42"/>
      <c r="C113" s="30">
        <v>7.97</v>
      </c>
      <c r="D113" s="30">
        <v>29</v>
      </c>
      <c r="E113" s="124">
        <f ca="1">IF(K115=0,0,HLOOKUP(A2,INDIRECT(K22),7, FALSE)*INDIRECT(K115)*0.01)</f>
        <v>0</v>
      </c>
      <c r="F113" s="33"/>
      <c r="G113" s="42">
        <f ca="1">(H113/G61)</f>
        <v>1.7854936198791136</v>
      </c>
      <c r="H113" s="38">
        <f ca="1">IF(E113=0,J115,IF(INDIRECT(K115)&gt;0,E113,J115))</f>
        <v>13293</v>
      </c>
      <c r="I113" s="3"/>
      <c r="J113" s="2"/>
      <c r="K113" s="2"/>
    </row>
    <row r="114" spans="1:11" ht="15.45" x14ac:dyDescent="0.4">
      <c r="A114" s="43"/>
      <c r="B114" s="33"/>
      <c r="C114" s="33"/>
      <c r="D114" s="33"/>
      <c r="E114" s="108"/>
      <c r="F114" s="39"/>
      <c r="G114" s="36" t="s">
        <v>68</v>
      </c>
      <c r="H114" s="90" t="s">
        <v>111</v>
      </c>
      <c r="I114" s="3"/>
      <c r="J114" s="2"/>
      <c r="K114" s="2"/>
    </row>
    <row r="115" spans="1:11" ht="15.45" x14ac:dyDescent="0.4">
      <c r="A115" s="32" t="s">
        <v>112</v>
      </c>
      <c r="B115" s="33"/>
      <c r="C115" s="33"/>
      <c r="D115" s="33"/>
      <c r="E115" s="108"/>
      <c r="F115" s="39"/>
      <c r="G115" s="42">
        <f ca="1">SUM(G78:G113)</f>
        <v>80.045728676964401</v>
      </c>
      <c r="H115" s="38">
        <f ca="1">SUM(H83,H87:H89,H93:H102,H107:H113)</f>
        <v>595940.44999999984</v>
      </c>
      <c r="I115" s="3"/>
      <c r="J115" s="5">
        <f>ROUND(+C113*D113*0.0001*SUM(H83,H87:H89,H93:H102,H107:H111,-H97),0)</f>
        <v>13293</v>
      </c>
      <c r="K115" s="1" t="s">
        <v>157</v>
      </c>
    </row>
    <row r="116" spans="1:11" ht="15.45" x14ac:dyDescent="0.4">
      <c r="A116" s="41"/>
      <c r="B116" s="33"/>
      <c r="C116" s="33"/>
      <c r="D116" s="33"/>
      <c r="E116" s="108"/>
      <c r="F116" s="33"/>
      <c r="G116" s="33"/>
      <c r="H116" s="51"/>
      <c r="I116" s="3"/>
      <c r="J116" s="2"/>
      <c r="K116" s="2"/>
    </row>
    <row r="117" spans="1:11" ht="15.45" x14ac:dyDescent="0.4">
      <c r="A117" s="43"/>
      <c r="B117" s="33"/>
      <c r="C117" s="33"/>
      <c r="D117" s="49" t="s">
        <v>64</v>
      </c>
      <c r="E117" s="49" t="s">
        <v>65</v>
      </c>
      <c r="F117" s="39"/>
      <c r="G117" s="42"/>
      <c r="H117" s="117" t="s">
        <v>65</v>
      </c>
      <c r="I117" s="3"/>
      <c r="J117" s="2"/>
      <c r="K117" s="4"/>
    </row>
    <row r="118" spans="1:11" ht="15.45" x14ac:dyDescent="0.4">
      <c r="A118" s="32" t="s">
        <v>113</v>
      </c>
      <c r="B118" s="33"/>
      <c r="C118" s="33"/>
      <c r="D118" s="49" t="str">
        <f>"/"&amp;IF(D35="Y","Feeder",(IF(D35="N","Kg Pork",#VALUE!)))</f>
        <v>/Feeder</v>
      </c>
      <c r="E118" s="108" t="s">
        <v>102</v>
      </c>
      <c r="F118" s="39"/>
      <c r="G118" s="34" t="str">
        <f>G59</f>
        <v>/Feeder</v>
      </c>
      <c r="H118" s="46" t="str">
        <f>" "&amp;FIXED(G61,0,TRUE)&amp;IF(D35="Y"," Pig",(IF(D35="N","Kg",#VALUE!)))</f>
        <v xml:space="preserve"> 7445 Pig</v>
      </c>
      <c r="I118" s="2"/>
      <c r="J118" s="2"/>
      <c r="K118" s="4"/>
    </row>
    <row r="119" spans="1:11" ht="15.45" x14ac:dyDescent="0.4">
      <c r="A119" s="32" t="s">
        <v>114</v>
      </c>
      <c r="B119" s="33"/>
      <c r="C119" s="33"/>
      <c r="D119" s="67">
        <v>9.3800000000000008</v>
      </c>
      <c r="E119" s="67">
        <v>0</v>
      </c>
      <c r="F119" s="39"/>
      <c r="G119" s="42">
        <f>IF(D119=0,E119/$G$61,D119)</f>
        <v>9.3800000000000008</v>
      </c>
      <c r="H119" s="38">
        <f>G119*$G$61</f>
        <v>69834.100000000006</v>
      </c>
      <c r="I119" s="3"/>
      <c r="J119" s="3"/>
      <c r="K119" s="4"/>
    </row>
    <row r="120" spans="1:11" ht="15.45" x14ac:dyDescent="0.4">
      <c r="A120" s="32" t="s">
        <v>115</v>
      </c>
      <c r="B120" s="33"/>
      <c r="C120" s="33"/>
      <c r="D120" s="67">
        <v>2.63</v>
      </c>
      <c r="E120" s="67">
        <v>0</v>
      </c>
      <c r="F120" s="33"/>
      <c r="G120" s="42">
        <f>IF(D120=0,E120/$G$61,D120)</f>
        <v>2.63</v>
      </c>
      <c r="H120" s="38">
        <f>G120*$G$61</f>
        <v>19580.349999999999</v>
      </c>
      <c r="I120" s="3"/>
      <c r="J120" s="3"/>
      <c r="K120" s="4"/>
    </row>
    <row r="121" spans="1:11" ht="15.45" x14ac:dyDescent="0.4">
      <c r="A121" s="32" t="s">
        <v>116</v>
      </c>
      <c r="B121" s="33"/>
      <c r="C121" s="33"/>
      <c r="D121" s="67">
        <v>0</v>
      </c>
      <c r="E121" s="67">
        <v>0</v>
      </c>
      <c r="F121" s="39"/>
      <c r="G121" s="42">
        <f>IF(D121=0,E121/$G$61,D121)</f>
        <v>0</v>
      </c>
      <c r="H121" s="38">
        <f>G121*$G$61</f>
        <v>0</v>
      </c>
      <c r="I121" s="3"/>
      <c r="J121" s="3"/>
      <c r="K121" s="1" t="s">
        <v>158</v>
      </c>
    </row>
    <row r="122" spans="1:11" ht="15.45" x14ac:dyDescent="0.4">
      <c r="A122" s="32" t="s">
        <v>117</v>
      </c>
      <c r="B122" s="33"/>
      <c r="C122" s="33"/>
      <c r="D122" s="67">
        <v>2.81</v>
      </c>
      <c r="E122" s="67">
        <v>0</v>
      </c>
      <c r="F122" s="45"/>
      <c r="G122" s="42">
        <f>IF(D122=0,E122/$G$61,D122)</f>
        <v>2.81</v>
      </c>
      <c r="H122" s="38">
        <f>G122*$G$61</f>
        <v>20920.45</v>
      </c>
      <c r="I122" s="2"/>
      <c r="J122" s="2"/>
      <c r="K122" s="1" t="s">
        <v>159</v>
      </c>
    </row>
    <row r="123" spans="1:11" ht="15.45" x14ac:dyDescent="0.4">
      <c r="A123" s="41"/>
      <c r="B123" s="33"/>
      <c r="C123" s="33"/>
      <c r="D123" s="33"/>
      <c r="E123" s="33"/>
      <c r="F123" s="33"/>
      <c r="G123" s="36" t="s">
        <v>68</v>
      </c>
      <c r="H123" s="90" t="s">
        <v>111</v>
      </c>
      <c r="I123" s="3"/>
      <c r="J123" s="2"/>
      <c r="K123" s="1" t="s">
        <v>160</v>
      </c>
    </row>
    <row r="124" spans="1:11" ht="15.45" x14ac:dyDescent="0.4">
      <c r="A124" s="32" t="s">
        <v>118</v>
      </c>
      <c r="B124" s="33"/>
      <c r="C124" s="33"/>
      <c r="D124" s="33"/>
      <c r="E124" s="33"/>
      <c r="F124" s="33"/>
      <c r="G124" s="42">
        <f>SUM(G119:G122)</f>
        <v>14.820000000000002</v>
      </c>
      <c r="H124" s="38">
        <f>SUM(H119:H122)</f>
        <v>110334.90000000001</v>
      </c>
      <c r="I124" s="3"/>
      <c r="J124" s="3"/>
      <c r="K124" s="1" t="s">
        <v>161</v>
      </c>
    </row>
    <row r="125" spans="1:11" ht="15.45" x14ac:dyDescent="0.4">
      <c r="A125" s="125"/>
      <c r="B125" s="126"/>
      <c r="C125" s="126"/>
      <c r="D125" s="126"/>
      <c r="E125" s="126"/>
      <c r="F125" s="126"/>
      <c r="G125" s="126"/>
      <c r="H125" s="127"/>
      <c r="I125" s="3"/>
      <c r="J125" s="3"/>
      <c r="K125" s="2"/>
    </row>
    <row r="126" spans="1:11" ht="15.45" x14ac:dyDescent="0.4">
      <c r="A126" s="16" t="s">
        <v>119</v>
      </c>
      <c r="B126" s="17"/>
      <c r="C126" s="17"/>
      <c r="D126" s="17"/>
      <c r="E126" s="81" t="str">
        <f>G59</f>
        <v>/Feeder</v>
      </c>
      <c r="F126" s="81" t="s">
        <v>65</v>
      </c>
      <c r="G126" s="17"/>
      <c r="H126" s="19"/>
      <c r="I126" s="3"/>
      <c r="J126" s="3"/>
      <c r="K126" s="2"/>
    </row>
    <row r="127" spans="1:11" ht="15.45" x14ac:dyDescent="0.4">
      <c r="A127" s="32" t="s">
        <v>120</v>
      </c>
      <c r="B127" s="33"/>
      <c r="C127" s="33"/>
      <c r="D127" s="33"/>
      <c r="E127" s="42">
        <f>(F127/G61)</f>
        <v>87.021027535258568</v>
      </c>
      <c r="F127" s="39">
        <f>H53</f>
        <v>647871.55000000005</v>
      </c>
      <c r="G127" s="123"/>
      <c r="H127" s="35"/>
      <c r="I127" s="3"/>
      <c r="J127" s="3"/>
      <c r="K127" s="2"/>
    </row>
    <row r="128" spans="1:11" ht="15.45" x14ac:dyDescent="0.4">
      <c r="A128" s="32" t="s">
        <v>121</v>
      </c>
      <c r="B128" s="33"/>
      <c r="C128" s="33"/>
      <c r="D128" s="34"/>
      <c r="E128" s="42">
        <f ca="1">(F128/G61)</f>
        <v>80.045728676964387</v>
      </c>
      <c r="F128" s="39">
        <f ca="1">H115</f>
        <v>595940.44999999984</v>
      </c>
      <c r="G128" s="123"/>
      <c r="H128" s="35"/>
      <c r="I128" s="3"/>
      <c r="J128" s="3"/>
      <c r="K128" s="2"/>
    </row>
    <row r="129" spans="1:11" ht="15.45" x14ac:dyDescent="0.4">
      <c r="A129" s="41"/>
      <c r="B129" s="33"/>
      <c r="C129" s="33"/>
      <c r="D129" s="33"/>
      <c r="E129" s="118" t="s">
        <v>60</v>
      </c>
      <c r="F129" s="118" t="s">
        <v>122</v>
      </c>
      <c r="G129" s="42"/>
      <c r="H129" s="35"/>
      <c r="I129" s="3"/>
      <c r="J129" s="3"/>
      <c r="K129" s="2"/>
    </row>
    <row r="130" spans="1:11" ht="15.45" x14ac:dyDescent="0.4">
      <c r="A130" s="32" t="s">
        <v>123</v>
      </c>
      <c r="B130" s="33"/>
      <c r="C130" s="33"/>
      <c r="D130" s="33"/>
      <c r="E130" s="42">
        <f ca="1">E127-E128</f>
        <v>6.9752988582941811</v>
      </c>
      <c r="F130" s="39">
        <f ca="1">F127-F128</f>
        <v>51931.10000000021</v>
      </c>
      <c r="G130" s="33"/>
      <c r="H130" s="35"/>
      <c r="I130" s="3"/>
      <c r="J130" s="2"/>
      <c r="K130" s="2"/>
    </row>
    <row r="131" spans="1:11" ht="15.45" x14ac:dyDescent="0.4">
      <c r="A131" s="32" t="s">
        <v>124</v>
      </c>
      <c r="B131" s="33"/>
      <c r="C131" s="33"/>
      <c r="D131" s="33"/>
      <c r="E131" s="42">
        <f>(F131/G61)</f>
        <v>14.820000000000002</v>
      </c>
      <c r="F131" s="39">
        <f>H124</f>
        <v>110334.90000000001</v>
      </c>
      <c r="G131" s="39"/>
      <c r="H131" s="35"/>
      <c r="I131" s="3"/>
      <c r="J131" s="2"/>
      <c r="K131" s="2"/>
    </row>
    <row r="132" spans="1:11" ht="15.45" x14ac:dyDescent="0.4">
      <c r="A132" s="41"/>
      <c r="B132" s="33"/>
      <c r="C132" s="33"/>
      <c r="D132" s="33"/>
      <c r="E132" s="118" t="s">
        <v>60</v>
      </c>
      <c r="F132" s="118" t="s">
        <v>122</v>
      </c>
      <c r="G132" s="108"/>
      <c r="H132" s="35"/>
      <c r="I132" s="3"/>
      <c r="J132" s="2"/>
      <c r="K132" s="2"/>
    </row>
    <row r="133" spans="1:11" ht="15.45" x14ac:dyDescent="0.4">
      <c r="A133" s="32" t="s">
        <v>125</v>
      </c>
      <c r="B133" s="33"/>
      <c r="C133" s="33"/>
      <c r="D133" s="33"/>
      <c r="E133" s="42">
        <f ca="1">E130-E131</f>
        <v>-7.844701141705821</v>
      </c>
      <c r="F133" s="39">
        <f ca="1">F130-F131</f>
        <v>-58403.799999999799</v>
      </c>
      <c r="G133" s="42"/>
      <c r="H133" s="35"/>
      <c r="I133" s="3"/>
      <c r="J133" s="2"/>
      <c r="K133" s="2"/>
    </row>
    <row r="134" spans="1:11" ht="15.45" x14ac:dyDescent="0.4">
      <c r="A134" s="41"/>
      <c r="B134" s="34"/>
      <c r="C134" s="42"/>
      <c r="D134" s="33"/>
      <c r="E134" s="33"/>
      <c r="F134" s="33"/>
      <c r="G134" s="33"/>
      <c r="H134" s="35"/>
      <c r="I134" s="3"/>
      <c r="J134" s="3"/>
      <c r="K134" s="2"/>
    </row>
    <row r="135" spans="1:11" ht="15.45" x14ac:dyDescent="0.4">
      <c r="A135" s="32" t="s">
        <v>126</v>
      </c>
      <c r="B135" s="33"/>
      <c r="C135" s="42"/>
      <c r="D135" s="34"/>
      <c r="E135" s="36" t="s">
        <v>127</v>
      </c>
      <c r="F135" s="33"/>
      <c r="G135" s="42"/>
      <c r="H135" s="35"/>
      <c r="I135" s="3"/>
      <c r="J135" s="2"/>
      <c r="K135" s="2"/>
    </row>
    <row r="136" spans="1:11" ht="15.45" x14ac:dyDescent="0.4">
      <c r="A136" s="41"/>
      <c r="B136" s="34"/>
      <c r="C136" s="36" t="s">
        <v>128</v>
      </c>
      <c r="D136" s="33"/>
      <c r="E136" s="42">
        <f ca="1">E139*H115/(H115+H124)</f>
        <v>2.832432431366819</v>
      </c>
      <c r="F136" s="33"/>
      <c r="G136" s="42"/>
      <c r="H136" s="35"/>
      <c r="I136" s="3"/>
      <c r="J136" s="2"/>
      <c r="K136" s="2"/>
    </row>
    <row r="137" spans="1:11" ht="15.45" x14ac:dyDescent="0.4">
      <c r="A137" s="128"/>
      <c r="B137" s="42"/>
      <c r="C137" s="36" t="s">
        <v>129</v>
      </c>
      <c r="D137" s="33"/>
      <c r="E137" s="42">
        <f ca="1">E139*H124/(H115+H124)</f>
        <v>0.52440835165932254</v>
      </c>
      <c r="F137" s="33"/>
      <c r="G137" s="42"/>
      <c r="H137" s="35"/>
      <c r="I137" s="3"/>
      <c r="J137" s="2"/>
      <c r="K137" s="2"/>
    </row>
    <row r="138" spans="1:11" ht="15.45" x14ac:dyDescent="0.4">
      <c r="A138" s="41"/>
      <c r="B138" s="34"/>
      <c r="C138" s="33"/>
      <c r="D138" s="33"/>
      <c r="E138" s="118" t="s">
        <v>60</v>
      </c>
      <c r="F138" s="33"/>
      <c r="G138" s="108"/>
      <c r="H138" s="35"/>
      <c r="I138" s="3"/>
      <c r="J138" s="3"/>
      <c r="K138" s="3"/>
    </row>
    <row r="139" spans="1:11" ht="15.45" x14ac:dyDescent="0.4">
      <c r="A139" s="91"/>
      <c r="B139" s="21"/>
      <c r="C139" s="92" t="s">
        <v>130</v>
      </c>
      <c r="D139" s="21"/>
      <c r="E139" s="64">
        <f ca="1">I139/D16</f>
        <v>3.3568407830261413</v>
      </c>
      <c r="F139" s="21"/>
      <c r="G139" s="21"/>
      <c r="H139" s="129"/>
      <c r="I139" s="3">
        <f ca="1">(H115+H124-H49-H50)/H17</f>
        <v>90.634701141705818</v>
      </c>
      <c r="J139" s="3"/>
      <c r="K139" s="3"/>
    </row>
    <row r="140" spans="1:11" ht="15.45" x14ac:dyDescent="0.4">
      <c r="A140" s="88"/>
      <c r="B140" s="89"/>
      <c r="C140" s="89"/>
      <c r="D140" s="89"/>
      <c r="E140" s="89"/>
      <c r="F140" s="89"/>
      <c r="G140" s="89"/>
      <c r="H140" s="130"/>
      <c r="I140" s="3"/>
      <c r="J140" s="3"/>
      <c r="K140" s="3"/>
    </row>
    <row r="141" spans="1:11" ht="15.45" x14ac:dyDescent="0.4">
      <c r="A141" s="41"/>
      <c r="B141" s="36" t="s">
        <v>131</v>
      </c>
      <c r="C141" s="33"/>
      <c r="D141" s="33"/>
      <c r="E141" s="34"/>
      <c r="F141" s="42"/>
      <c r="G141" s="123">
        <f ca="1">IF(E133&gt;0,1-I156,I156)</f>
        <v>0.32342833129728704</v>
      </c>
      <c r="H141" s="131" t="s">
        <v>132</v>
      </c>
      <c r="I141" s="15" t="s">
        <v>186</v>
      </c>
      <c r="J141" s="3"/>
      <c r="K141" s="3"/>
    </row>
    <row r="142" spans="1:11" ht="15.45" x14ac:dyDescent="0.4">
      <c r="A142" s="41"/>
      <c r="B142" s="36" t="s">
        <v>133</v>
      </c>
      <c r="C142" s="42"/>
      <c r="D142" s="30">
        <v>0</v>
      </c>
      <c r="E142" s="34" t="str">
        <f>LOWER(RIGHT(G59,LEN(G59)-1))</f>
        <v>feeder</v>
      </c>
      <c r="F142" s="36" t="s">
        <v>134</v>
      </c>
      <c r="G142" s="123">
        <f ca="1">IF(D142-E133&gt;0,J156,1-J156)</f>
        <v>0.32342833129728704</v>
      </c>
      <c r="H142" s="131"/>
      <c r="I142" s="15" t="s">
        <v>187</v>
      </c>
      <c r="J142" s="3"/>
      <c r="K142" s="3"/>
    </row>
    <row r="143" spans="1:11" ht="15.45" x14ac:dyDescent="0.4">
      <c r="A143" s="41"/>
      <c r="B143" s="36"/>
      <c r="C143" s="42"/>
      <c r="D143" s="132"/>
      <c r="E143" s="34"/>
      <c r="F143" s="36"/>
      <c r="G143" s="123"/>
      <c r="H143" s="131"/>
      <c r="I143" s="15" t="s">
        <v>188</v>
      </c>
      <c r="J143" s="3"/>
      <c r="K143" s="3"/>
    </row>
    <row r="144" spans="1:11" ht="15.45" x14ac:dyDescent="0.4">
      <c r="A144" s="41"/>
      <c r="B144" s="133"/>
      <c r="C144" s="118" t="s">
        <v>189</v>
      </c>
      <c r="D144" s="33" t="s">
        <v>190</v>
      </c>
      <c r="E144" s="34"/>
      <c r="F144" s="123"/>
      <c r="G144" s="42">
        <f>I150/F127</f>
        <v>0.19677062898797884</v>
      </c>
      <c r="H144" s="134" t="str">
        <f>IF(G144&lt;=0.2499,"Low Risk",IF(AND(G144&gt;0.2499,G144&lt;0.4),"Moderate Risk","High Risk"))</f>
        <v>Low Risk</v>
      </c>
      <c r="I144" s="3">
        <f>((F42*(E39-G39)/2)^2+(F39*(E42-G42))^2+((E42-G42)*(E39-G39)/2)^2)</f>
        <v>11795210362.57913</v>
      </c>
      <c r="J144" s="3"/>
      <c r="K144" s="3"/>
    </row>
    <row r="145" spans="1:11" ht="15.45" x14ac:dyDescent="0.4">
      <c r="A145" s="41"/>
      <c r="B145" s="36"/>
      <c r="C145" s="135"/>
      <c r="D145" s="33"/>
      <c r="E145" s="34"/>
      <c r="F145" s="123"/>
      <c r="G145" s="42"/>
      <c r="H145" s="136"/>
      <c r="I145" s="3"/>
      <c r="J145" s="3"/>
      <c r="K145" s="3"/>
    </row>
    <row r="146" spans="1:11" ht="15.45" x14ac:dyDescent="0.4">
      <c r="A146" s="41"/>
      <c r="B146" s="34"/>
      <c r="C146" s="36" t="s">
        <v>135</v>
      </c>
      <c r="D146" s="33"/>
      <c r="E146" s="36" t="s">
        <v>136</v>
      </c>
      <c r="F146" s="33"/>
      <c r="G146" s="108"/>
      <c r="H146" s="136" t="s">
        <v>137</v>
      </c>
      <c r="I146" s="3"/>
      <c r="J146" s="3"/>
      <c r="K146" s="3"/>
    </row>
    <row r="147" spans="1:11" ht="15.45" x14ac:dyDescent="0.4">
      <c r="A147" s="41"/>
      <c r="B147" s="33"/>
      <c r="C147" s="34" t="str">
        <f>G59</f>
        <v>/Feeder</v>
      </c>
      <c r="D147" s="33"/>
      <c r="E147" s="34" t="str">
        <f>IF(G59="/Feeder","this return per feeder pig","this return per kg")</f>
        <v>this return per feeder pig</v>
      </c>
      <c r="F147" s="33"/>
      <c r="G147" s="33"/>
      <c r="H147" s="136" t="s">
        <v>138</v>
      </c>
      <c r="I147" s="3">
        <f>(D50*(E41-G41)/2)^2</f>
        <v>0</v>
      </c>
      <c r="J147" s="3"/>
      <c r="K147" s="3"/>
    </row>
    <row r="148" spans="1:11" ht="15.45" x14ac:dyDescent="0.4">
      <c r="A148" s="43"/>
      <c r="B148" s="42"/>
      <c r="C148" s="33"/>
      <c r="D148" s="33"/>
      <c r="E148" s="33"/>
      <c r="F148" s="33"/>
      <c r="G148" s="108"/>
      <c r="H148" s="136" t="s">
        <v>139</v>
      </c>
      <c r="I148" s="3">
        <f>(D49*(E40-G40)/2)^2</f>
        <v>99500625</v>
      </c>
      <c r="J148" s="3"/>
      <c r="K148" s="3"/>
    </row>
    <row r="149" spans="1:11" ht="15.45" x14ac:dyDescent="0.4">
      <c r="A149" s="128"/>
      <c r="B149" s="39"/>
      <c r="C149" s="42">
        <f ca="1">(E133+0.97*I151)</f>
        <v>8.7647857118884414</v>
      </c>
      <c r="D149" s="33"/>
      <c r="E149" s="36" t="s">
        <v>140</v>
      </c>
      <c r="F149" s="33"/>
      <c r="G149" s="108"/>
      <c r="H149" s="136" t="s">
        <v>141</v>
      </c>
      <c r="I149" s="3">
        <f>((F44/100)*SUM(H62:H71))^2</f>
        <v>4356972894.3168993</v>
      </c>
      <c r="J149" s="3"/>
      <c r="K149" s="3"/>
    </row>
    <row r="150" spans="1:11" ht="15.45" x14ac:dyDescent="0.4">
      <c r="A150" s="128"/>
      <c r="B150" s="39"/>
      <c r="C150" s="42">
        <f ca="1">(E133+0.43*I151)</f>
        <v>-0.48173274268980748</v>
      </c>
      <c r="D150" s="33"/>
      <c r="E150" s="36" t="s">
        <v>142</v>
      </c>
      <c r="F150" s="33"/>
      <c r="G150" s="108"/>
      <c r="H150" s="35"/>
      <c r="I150" s="3">
        <f>SQRT(SUM(I143:I149)+2*(I147*I148)^0.5)</f>
        <v>127482.09239691679</v>
      </c>
      <c r="J150" s="3"/>
      <c r="K150" s="3"/>
    </row>
    <row r="151" spans="1:11" ht="15.45" x14ac:dyDescent="0.4">
      <c r="A151" s="128"/>
      <c r="B151" s="39"/>
      <c r="C151" s="42">
        <f ca="1">(E133)</f>
        <v>-7.844701141705821</v>
      </c>
      <c r="D151" s="33"/>
      <c r="E151" s="36" t="s">
        <v>143</v>
      </c>
      <c r="F151" s="34"/>
      <c r="G151" s="108"/>
      <c r="H151" s="136" t="s">
        <v>144</v>
      </c>
      <c r="I151" s="3">
        <f>I150/G61</f>
        <v>17.123182323293054</v>
      </c>
      <c r="J151" s="3"/>
      <c r="K151" s="3"/>
    </row>
    <row r="152" spans="1:11" ht="15.45" x14ac:dyDescent="0.4">
      <c r="A152" s="128"/>
      <c r="B152" s="39"/>
      <c r="C152" s="42">
        <f ca="1">(E133-0.43*I151)</f>
        <v>-15.207669540721835</v>
      </c>
      <c r="D152" s="33"/>
      <c r="E152" s="36" t="s">
        <v>145</v>
      </c>
      <c r="F152" s="34"/>
      <c r="G152" s="108"/>
      <c r="H152" s="136" t="s">
        <v>146</v>
      </c>
      <c r="I152" s="3"/>
      <c r="J152" s="3"/>
      <c r="K152" s="3"/>
    </row>
    <row r="153" spans="1:11" ht="15.45" x14ac:dyDescent="0.4">
      <c r="A153" s="128"/>
      <c r="B153" s="39"/>
      <c r="C153" s="42">
        <f ca="1">(E133-0.97*I151)</f>
        <v>-24.454187995300082</v>
      </c>
      <c r="D153" s="33"/>
      <c r="E153" s="36" t="s">
        <v>147</v>
      </c>
      <c r="F153" s="34"/>
      <c r="G153" s="108"/>
      <c r="H153" s="136" t="s">
        <v>148</v>
      </c>
      <c r="I153" s="3">
        <f ca="1">ABS(E133/I151)</f>
        <v>0.45813336525854165</v>
      </c>
      <c r="J153" s="3">
        <f ca="1">ABS((E133-D142)/I151)</f>
        <v>0.45813336525854165</v>
      </c>
      <c r="K153" s="3"/>
    </row>
    <row r="154" spans="1:11" ht="15.45" x14ac:dyDescent="0.4">
      <c r="A154" s="91"/>
      <c r="B154" s="21"/>
      <c r="C154" s="21"/>
      <c r="D154" s="64"/>
      <c r="E154" s="21"/>
      <c r="F154" s="22"/>
      <c r="G154" s="21"/>
      <c r="H154" s="137" t="s">
        <v>149</v>
      </c>
      <c r="I154" s="3">
        <f ca="1">1/(1+(0.2316419*I153))</f>
        <v>0.90405868570713543</v>
      </c>
      <c r="J154" s="3">
        <f ca="1">1/(1+(0.2316419*J153))</f>
        <v>0.90405868570713543</v>
      </c>
      <c r="K154" s="2"/>
    </row>
    <row r="155" spans="1:11" ht="15.45" x14ac:dyDescent="0.4">
      <c r="A155" s="138" t="s">
        <v>199</v>
      </c>
      <c r="B155" s="139"/>
      <c r="C155" s="140"/>
      <c r="D155" s="140"/>
      <c r="E155" s="141"/>
      <c r="F155" s="140"/>
      <c r="G155" s="140"/>
      <c r="H155" s="142"/>
      <c r="I155" s="3">
        <f ca="1">0.398942281*EXP(I153^2/-2)</f>
        <v>0.3591979599898274</v>
      </c>
      <c r="J155" s="3">
        <f ca="1">0.398942281*EXP(J153^2/-2)</f>
        <v>0.3591979599898274</v>
      </c>
      <c r="K155" s="2"/>
    </row>
    <row r="156" spans="1:11" ht="15.45" x14ac:dyDescent="0.4">
      <c r="A156" s="143"/>
      <c r="B156" s="144"/>
      <c r="C156" s="144"/>
      <c r="D156" s="144"/>
      <c r="E156" s="144"/>
      <c r="F156" s="144"/>
      <c r="G156" s="144"/>
      <c r="H156" s="145"/>
      <c r="I156" s="3">
        <f ca="1">I155*(0.31938153*I154-0.356563782*I154^2+1.781477937*I154^3-1.821255978*I154^4+1.330274429*I154^5)</f>
        <v>0.32342833129728704</v>
      </c>
      <c r="J156" s="3">
        <f ca="1">J155*(0.31938153*J154-0.356563782*J154^2+1.781477937*J154^3-1.821255978*J154^4+1.330274429*J154^5)</f>
        <v>0.32342833129728704</v>
      </c>
      <c r="K156" s="2"/>
    </row>
    <row r="157" spans="1:11" ht="15.45" x14ac:dyDescent="0.4">
      <c r="A157" s="146"/>
      <c r="B157" s="147"/>
      <c r="C157" s="147"/>
      <c r="D157" s="148" t="s">
        <v>182</v>
      </c>
      <c r="E157" s="147"/>
      <c r="F157" s="147"/>
      <c r="G157" s="147"/>
      <c r="H157" s="149"/>
      <c r="I157" s="2"/>
      <c r="J157" s="2"/>
      <c r="K157" s="2"/>
    </row>
    <row r="158" spans="1:11" ht="15.45" x14ac:dyDescent="0.4">
      <c r="A158" s="150"/>
      <c r="B158" s="147"/>
      <c r="C158" s="147"/>
      <c r="D158" s="147"/>
      <c r="E158" s="147"/>
      <c r="F158" s="147"/>
      <c r="G158" s="147"/>
      <c r="H158" s="149"/>
      <c r="I158" s="2"/>
      <c r="J158" s="2"/>
      <c r="K158" s="2"/>
    </row>
    <row r="159" spans="1:11" ht="15.45" x14ac:dyDescent="0.4">
      <c r="A159" s="151"/>
      <c r="B159" s="147"/>
      <c r="C159" s="147"/>
      <c r="D159" s="151" t="s">
        <v>183</v>
      </c>
      <c r="E159" s="152"/>
      <c r="F159" s="152"/>
      <c r="G159" s="147"/>
      <c r="H159" s="149"/>
      <c r="I159" s="2"/>
      <c r="J159" s="2"/>
      <c r="K159" s="2"/>
    </row>
    <row r="160" spans="1:11" ht="15.45" x14ac:dyDescent="0.4">
      <c r="A160" s="153"/>
      <c r="B160" s="147"/>
      <c r="C160" s="147"/>
      <c r="D160" s="151" t="s">
        <v>184</v>
      </c>
      <c r="E160" s="152"/>
      <c r="F160" s="152"/>
      <c r="G160" s="147"/>
      <c r="H160" s="149"/>
      <c r="I160" s="2"/>
      <c r="J160" s="2"/>
      <c r="K160" s="2"/>
    </row>
    <row r="161" spans="1:11" ht="15.45" x14ac:dyDescent="0.4">
      <c r="A161" s="154"/>
      <c r="B161" s="147"/>
      <c r="C161" s="147"/>
      <c r="D161" s="155" t="s">
        <v>195</v>
      </c>
      <c r="E161" s="152"/>
      <c r="F161" s="152"/>
      <c r="G161" s="147"/>
      <c r="H161" s="149"/>
      <c r="I161" s="2"/>
      <c r="J161" s="2"/>
      <c r="K161" s="2"/>
    </row>
    <row r="162" spans="1:11" ht="15.45" x14ac:dyDescent="0.4">
      <c r="A162" s="154"/>
      <c r="B162" s="147"/>
      <c r="C162" s="147"/>
      <c r="D162" s="156" t="s">
        <v>185</v>
      </c>
      <c r="E162" s="152"/>
      <c r="F162" s="152"/>
      <c r="G162" s="147"/>
      <c r="H162" s="149"/>
      <c r="I162" s="2"/>
      <c r="J162" s="2"/>
      <c r="K162" s="2"/>
    </row>
    <row r="163" spans="1:11" ht="15.45" x14ac:dyDescent="0.4">
      <c r="A163" s="157"/>
      <c r="B163" s="158"/>
      <c r="C163" s="158"/>
      <c r="D163" s="163" t="s">
        <v>197</v>
      </c>
      <c r="E163" s="159"/>
      <c r="F163" s="159"/>
      <c r="G163" s="160"/>
      <c r="H163" s="161"/>
      <c r="I163" s="2"/>
      <c r="J163" s="2"/>
      <c r="K163" s="2"/>
    </row>
    <row r="164" spans="1:11" ht="15.45" x14ac:dyDescent="0.4">
      <c r="A164" s="164" t="s">
        <v>198</v>
      </c>
      <c r="B164" s="165"/>
      <c r="C164" s="165"/>
      <c r="D164" s="166"/>
      <c r="E164" s="166"/>
      <c r="F164" s="167"/>
      <c r="G164" s="167"/>
      <c r="H164" s="165"/>
      <c r="I164" s="2"/>
      <c r="J164" s="2"/>
      <c r="K164" s="2"/>
    </row>
    <row r="165" spans="1:11" x14ac:dyDescent="0.3">
      <c r="A165" s="10"/>
      <c r="B165" s="8"/>
      <c r="C165" s="8"/>
      <c r="D165" s="13"/>
      <c r="E165" s="8"/>
      <c r="F165" s="10"/>
      <c r="G165" s="8"/>
      <c r="H165" s="10"/>
      <c r="I165" s="2"/>
      <c r="J165" s="2"/>
      <c r="K165" s="2"/>
    </row>
    <row r="166" spans="1:11" x14ac:dyDescent="0.3">
      <c r="A166" s="10"/>
      <c r="B166" s="8"/>
      <c r="C166" s="8"/>
      <c r="D166" s="10"/>
      <c r="E166" s="8"/>
      <c r="F166" s="10"/>
      <c r="G166" s="8"/>
      <c r="H166" s="11"/>
      <c r="I166" s="2"/>
      <c r="J166" s="2"/>
      <c r="K166" s="2"/>
    </row>
    <row r="167" spans="1:11" x14ac:dyDescent="0.3">
      <c r="A167" s="10"/>
      <c r="B167" s="8"/>
      <c r="C167" s="8"/>
      <c r="D167" s="10"/>
      <c r="E167" s="8"/>
      <c r="F167" s="10"/>
      <c r="G167" s="8"/>
      <c r="H167" s="8"/>
      <c r="I167" s="2"/>
      <c r="J167" s="2"/>
      <c r="K167" s="2"/>
    </row>
    <row r="168" spans="1:11" x14ac:dyDescent="0.3">
      <c r="A168" s="10"/>
      <c r="B168" s="8"/>
      <c r="C168" s="8"/>
      <c r="D168" s="11"/>
      <c r="E168" s="8"/>
      <c r="F168" s="10"/>
      <c r="G168" s="8"/>
      <c r="H168" s="11"/>
      <c r="I168" s="2"/>
      <c r="J168" s="2"/>
      <c r="K168" s="2"/>
    </row>
    <row r="169" spans="1:11" x14ac:dyDescent="0.3">
      <c r="A169" s="8"/>
      <c r="B169" s="8"/>
      <c r="C169" s="8"/>
      <c r="D169" s="8"/>
      <c r="E169" s="8"/>
      <c r="F169" s="10"/>
      <c r="G169" s="8"/>
      <c r="H169" s="10"/>
      <c r="I169" s="2"/>
      <c r="J169" s="2"/>
      <c r="K169" s="2"/>
    </row>
    <row r="170" spans="1:11" x14ac:dyDescent="0.3">
      <c r="A170" s="10"/>
      <c r="B170" s="8"/>
      <c r="C170" s="8"/>
      <c r="D170" s="8"/>
      <c r="E170" s="8"/>
      <c r="F170" s="8"/>
      <c r="G170" s="8"/>
      <c r="H170" s="8"/>
      <c r="I170" s="2"/>
      <c r="J170" s="2"/>
      <c r="K170" s="2"/>
    </row>
    <row r="171" spans="1:11" x14ac:dyDescent="0.3">
      <c r="A171" s="10"/>
      <c r="B171" s="8"/>
      <c r="C171" s="8"/>
      <c r="D171" s="8"/>
      <c r="E171" s="8"/>
      <c r="F171" s="8"/>
      <c r="G171" s="8"/>
      <c r="H171" s="8"/>
      <c r="I171" s="2"/>
      <c r="J171" s="2"/>
      <c r="K171" s="2"/>
    </row>
    <row r="172" spans="1:11" x14ac:dyDescent="0.3">
      <c r="A172" s="10"/>
      <c r="B172" s="8"/>
      <c r="C172" s="8"/>
      <c r="D172" s="8"/>
      <c r="E172" s="8"/>
      <c r="F172" s="8"/>
      <c r="G172" s="8"/>
      <c r="H172" s="10"/>
      <c r="I172" s="2"/>
      <c r="J172" s="2"/>
      <c r="K172" s="2"/>
    </row>
    <row r="173" spans="1:11" x14ac:dyDescent="0.3">
      <c r="A173" s="8"/>
      <c r="B173" s="8"/>
      <c r="C173" s="8"/>
      <c r="D173" s="10"/>
      <c r="E173" s="8"/>
      <c r="F173" s="8"/>
      <c r="G173" s="8"/>
      <c r="H173" s="9"/>
      <c r="I173" s="2"/>
      <c r="J173" s="2"/>
      <c r="K173" s="2"/>
    </row>
    <row r="174" spans="1:11" x14ac:dyDescent="0.3">
      <c r="A174" s="8"/>
      <c r="B174" s="8"/>
      <c r="C174" s="8"/>
      <c r="D174" s="8"/>
      <c r="E174" s="8"/>
      <c r="F174" s="8"/>
      <c r="G174" s="8"/>
      <c r="H174" s="8"/>
      <c r="I174" s="2"/>
      <c r="J174" s="2"/>
      <c r="K174" s="2"/>
    </row>
    <row r="175" spans="1:11" x14ac:dyDescent="0.3">
      <c r="A175" s="8"/>
      <c r="B175" s="8"/>
      <c r="C175" s="8"/>
      <c r="D175" s="8"/>
      <c r="E175" s="8"/>
      <c r="F175" s="8"/>
      <c r="G175" s="8"/>
      <c r="H175" s="8"/>
      <c r="I175" s="2"/>
      <c r="J175" s="2"/>
      <c r="K175" s="2"/>
    </row>
    <row r="176" spans="1:11" x14ac:dyDescent="0.3">
      <c r="A176" s="8"/>
      <c r="B176" s="8"/>
      <c r="C176" s="8"/>
      <c r="D176" s="8"/>
      <c r="E176" s="8"/>
      <c r="F176" s="8"/>
      <c r="G176" s="8"/>
      <c r="H176" s="8"/>
      <c r="I176" s="2"/>
      <c r="J176" s="2"/>
      <c r="K176" s="2"/>
    </row>
    <row r="177" spans="1:11" x14ac:dyDescent="0.3">
      <c r="A177" s="8"/>
      <c r="B177" s="8"/>
      <c r="C177" s="8"/>
      <c r="D177" s="8"/>
      <c r="E177" s="8"/>
      <c r="F177" s="8"/>
      <c r="G177" s="8"/>
      <c r="H177" s="8"/>
      <c r="I177" s="2"/>
      <c r="J177" s="2"/>
      <c r="K177" s="2"/>
    </row>
    <row r="178" spans="1:11" x14ac:dyDescent="0.3">
      <c r="A178" s="8"/>
      <c r="B178" s="8"/>
      <c r="C178" s="8"/>
      <c r="D178" s="8"/>
      <c r="E178" s="8"/>
      <c r="F178" s="8"/>
      <c r="G178" s="8"/>
      <c r="H178" s="8"/>
      <c r="I178" s="2"/>
      <c r="J178" s="2"/>
      <c r="K178" s="2"/>
    </row>
    <row r="179" spans="1:11" x14ac:dyDescent="0.3">
      <c r="A179" s="8"/>
      <c r="B179" s="8"/>
      <c r="C179" s="8"/>
      <c r="D179" s="8"/>
      <c r="E179" s="8"/>
      <c r="F179" s="8"/>
      <c r="G179" s="8"/>
      <c r="H179" s="8"/>
      <c r="I179" s="2"/>
      <c r="J179" s="2"/>
      <c r="K179" s="2"/>
    </row>
    <row r="180" spans="1:11" x14ac:dyDescent="0.3">
      <c r="A180" s="8"/>
      <c r="B180" s="8"/>
      <c r="C180" s="8"/>
      <c r="D180" s="8"/>
      <c r="E180" s="8"/>
      <c r="F180" s="8"/>
      <c r="G180" s="8"/>
      <c r="H180" s="8"/>
      <c r="I180" s="2"/>
      <c r="J180" s="2"/>
      <c r="K180" s="2"/>
    </row>
    <row r="181" spans="1:11" x14ac:dyDescent="0.3">
      <c r="A181" s="8"/>
      <c r="B181" s="8"/>
      <c r="C181" s="8"/>
      <c r="D181" s="8"/>
      <c r="E181" s="8"/>
      <c r="F181" s="8"/>
      <c r="G181" s="8"/>
      <c r="H181" s="8"/>
      <c r="I181" s="2"/>
      <c r="J181" s="2"/>
      <c r="K181" s="2"/>
    </row>
    <row r="182" spans="1:11" x14ac:dyDescent="0.3">
      <c r="A182" s="8"/>
      <c r="B182" s="8"/>
      <c r="C182" s="8"/>
      <c r="D182" s="8"/>
      <c r="E182" s="8"/>
      <c r="F182" s="8"/>
      <c r="G182" s="8"/>
      <c r="H182" s="8"/>
      <c r="I182" s="2"/>
      <c r="J182" s="2"/>
      <c r="K182" s="2"/>
    </row>
    <row r="183" spans="1:11" x14ac:dyDescent="0.3">
      <c r="A183" s="8"/>
      <c r="B183" s="8"/>
      <c r="C183" s="8"/>
      <c r="D183" s="8"/>
      <c r="E183" s="8"/>
      <c r="F183" s="8"/>
      <c r="G183" s="8"/>
      <c r="H183" s="8"/>
      <c r="I183" s="2"/>
      <c r="J183" s="2"/>
      <c r="K183" s="2"/>
    </row>
    <row r="184" spans="1:11" x14ac:dyDescent="0.3">
      <c r="A184" s="8"/>
      <c r="B184" s="8"/>
      <c r="C184" s="8"/>
      <c r="D184" s="8"/>
      <c r="E184" s="8"/>
      <c r="F184" s="8"/>
      <c r="G184" s="8"/>
      <c r="H184" s="8"/>
      <c r="I184" s="2"/>
      <c r="J184" s="2"/>
      <c r="K184" s="2"/>
    </row>
    <row r="185" spans="1:11" x14ac:dyDescent="0.3">
      <c r="A185" s="8"/>
      <c r="B185" s="8"/>
      <c r="C185" s="8"/>
      <c r="D185" s="8"/>
      <c r="E185" s="8"/>
      <c r="F185" s="8"/>
      <c r="G185" s="8"/>
      <c r="H185" s="8"/>
      <c r="I185" s="2"/>
      <c r="J185" s="2"/>
      <c r="K185" s="2"/>
    </row>
    <row r="186" spans="1:11" x14ac:dyDescent="0.3">
      <c r="A186" s="8"/>
      <c r="B186" s="8"/>
      <c r="C186" s="8"/>
      <c r="D186" s="8"/>
      <c r="E186" s="8"/>
      <c r="F186" s="8"/>
      <c r="G186" s="8"/>
      <c r="H186" s="8"/>
      <c r="I186" s="2"/>
      <c r="J186" s="2"/>
      <c r="K186" s="2"/>
    </row>
    <row r="187" spans="1:11" x14ac:dyDescent="0.3">
      <c r="A187" s="8"/>
      <c r="B187" s="8"/>
      <c r="C187" s="8"/>
      <c r="D187" s="8"/>
      <c r="E187" s="8"/>
      <c r="F187" s="8"/>
      <c r="G187" s="8"/>
      <c r="H187" s="8"/>
      <c r="I187" s="2"/>
      <c r="J187" s="2"/>
      <c r="K187" s="2"/>
    </row>
    <row r="188" spans="1:11" x14ac:dyDescent="0.3">
      <c r="A188" s="8"/>
      <c r="B188" s="8"/>
      <c r="C188" s="8"/>
      <c r="D188" s="8"/>
      <c r="E188" s="8"/>
      <c r="F188" s="8"/>
      <c r="G188" s="8"/>
      <c r="H188" s="8"/>
      <c r="I188" s="2"/>
      <c r="J188" s="2"/>
      <c r="K188" s="2"/>
    </row>
    <row r="189" spans="1:11" x14ac:dyDescent="0.3">
      <c r="A189" s="8"/>
      <c r="B189" s="8"/>
      <c r="C189" s="8"/>
      <c r="D189" s="8"/>
      <c r="E189" s="8"/>
      <c r="F189" s="8"/>
      <c r="G189" s="8"/>
      <c r="H189" s="8"/>
      <c r="I189" s="2"/>
      <c r="J189" s="2"/>
      <c r="K189" s="2"/>
    </row>
    <row r="190" spans="1:11" x14ac:dyDescent="0.3">
      <c r="A190" s="8"/>
      <c r="B190" s="8"/>
      <c r="C190" s="8"/>
      <c r="D190" s="8"/>
      <c r="E190" s="8"/>
      <c r="F190" s="8"/>
      <c r="G190" s="8"/>
      <c r="H190" s="8"/>
      <c r="I190" s="2"/>
      <c r="J190" s="2"/>
      <c r="K190" s="2"/>
    </row>
    <row r="191" spans="1:11" x14ac:dyDescent="0.3">
      <c r="A191" s="8"/>
      <c r="B191" s="8"/>
      <c r="C191" s="8"/>
      <c r="D191" s="8"/>
      <c r="E191" s="8"/>
      <c r="F191" s="8"/>
      <c r="G191" s="8"/>
      <c r="H191" s="8"/>
      <c r="I191" s="2"/>
      <c r="J191" s="2"/>
      <c r="K191" s="2"/>
    </row>
    <row r="192" spans="1:11" x14ac:dyDescent="0.3">
      <c r="A192" s="8"/>
      <c r="B192" s="8"/>
      <c r="C192" s="8"/>
      <c r="D192" s="8"/>
      <c r="E192" s="8"/>
      <c r="F192" s="8"/>
      <c r="G192" s="8"/>
      <c r="H192" s="8"/>
      <c r="I192" s="2"/>
      <c r="J192" s="2"/>
      <c r="K192" s="2"/>
    </row>
    <row r="193" spans="1:11" x14ac:dyDescent="0.3">
      <c r="A193" s="8"/>
      <c r="B193" s="8"/>
      <c r="C193" s="8"/>
      <c r="D193" s="8"/>
      <c r="E193" s="8"/>
      <c r="F193" s="8"/>
      <c r="G193" s="8"/>
      <c r="H193" s="8"/>
      <c r="I193" s="2"/>
      <c r="J193" s="2"/>
      <c r="K193" s="2"/>
    </row>
    <row r="194" spans="1:11" x14ac:dyDescent="0.3">
      <c r="A194" s="8"/>
      <c r="B194" s="8"/>
      <c r="C194" s="8"/>
      <c r="D194" s="8"/>
      <c r="E194" s="8"/>
      <c r="F194" s="8"/>
      <c r="G194" s="8"/>
      <c r="H194" s="8"/>
      <c r="I194" s="2"/>
      <c r="J194" s="2"/>
      <c r="K194" s="2"/>
    </row>
    <row r="195" spans="1:11" x14ac:dyDescent="0.3">
      <c r="A195" s="8"/>
      <c r="B195" s="8"/>
      <c r="C195" s="8"/>
      <c r="D195" s="8"/>
      <c r="E195" s="8"/>
      <c r="F195" s="8"/>
      <c r="G195" s="8"/>
      <c r="H195" s="8"/>
      <c r="I195" s="2"/>
      <c r="J195" s="2"/>
      <c r="K195" s="2"/>
    </row>
    <row r="196" spans="1:11" x14ac:dyDescent="0.3">
      <c r="A196" s="8"/>
      <c r="B196" s="8"/>
      <c r="C196" s="8"/>
      <c r="D196" s="8"/>
      <c r="E196" s="8"/>
      <c r="F196" s="8"/>
      <c r="G196" s="8"/>
      <c r="H196" s="8"/>
      <c r="I196" s="2"/>
      <c r="J196" s="2"/>
      <c r="K196" s="2"/>
    </row>
    <row r="197" spans="1:11" x14ac:dyDescent="0.3">
      <c r="A197" s="8"/>
      <c r="B197" s="8"/>
      <c r="C197" s="8"/>
      <c r="D197" s="8"/>
      <c r="E197" s="8"/>
      <c r="F197" s="8"/>
      <c r="G197" s="8"/>
      <c r="H197" s="8"/>
      <c r="I197" s="2"/>
      <c r="J197" s="2"/>
      <c r="K197" s="2"/>
    </row>
    <row r="198" spans="1:11" x14ac:dyDescent="0.3">
      <c r="A198" s="8"/>
      <c r="B198" s="8"/>
      <c r="C198" s="8"/>
      <c r="D198" s="8"/>
      <c r="E198" s="8"/>
      <c r="F198" s="8"/>
      <c r="G198" s="8"/>
      <c r="H198" s="8"/>
      <c r="I198" s="2"/>
      <c r="J198" s="2"/>
      <c r="K198" s="2"/>
    </row>
    <row r="199" spans="1:11" x14ac:dyDescent="0.3">
      <c r="A199" s="8"/>
      <c r="B199" s="8"/>
      <c r="C199" s="8"/>
      <c r="D199" s="8"/>
      <c r="E199" s="8"/>
      <c r="F199" s="8"/>
      <c r="G199" s="8"/>
      <c r="H199" s="8"/>
      <c r="I199" s="2"/>
      <c r="J199" s="2"/>
      <c r="K199" s="2"/>
    </row>
    <row r="200" spans="1:11" x14ac:dyDescent="0.3">
      <c r="A200" s="8"/>
      <c r="B200" s="8"/>
      <c r="C200" s="8"/>
      <c r="D200" s="8"/>
      <c r="E200" s="8"/>
      <c r="F200" s="8"/>
      <c r="G200" s="8"/>
      <c r="H200" s="8"/>
      <c r="I200" s="2"/>
      <c r="J200" s="2"/>
      <c r="K200" s="2"/>
    </row>
    <row r="201" spans="1:11" x14ac:dyDescent="0.3">
      <c r="A201" s="8"/>
      <c r="B201" s="8"/>
      <c r="C201" s="8"/>
      <c r="D201" s="8"/>
      <c r="E201" s="8"/>
      <c r="F201" s="8"/>
      <c r="G201" s="8"/>
      <c r="H201" s="8"/>
      <c r="I201" s="2"/>
      <c r="J201" s="2"/>
      <c r="K201" s="2"/>
    </row>
    <row r="202" spans="1:11" x14ac:dyDescent="0.3">
      <c r="A202" s="8"/>
      <c r="B202" s="8"/>
      <c r="C202" s="8"/>
      <c r="D202" s="8"/>
      <c r="E202" s="8"/>
      <c r="F202" s="8"/>
      <c r="G202" s="8"/>
      <c r="H202" s="8"/>
      <c r="I202" s="2"/>
      <c r="J202" s="2"/>
      <c r="K202" s="2"/>
    </row>
    <row r="203" spans="1:11" x14ac:dyDescent="0.3">
      <c r="A203" s="8"/>
      <c r="B203" s="8"/>
      <c r="C203" s="8"/>
      <c r="D203" s="8"/>
      <c r="E203" s="8"/>
      <c r="F203" s="8"/>
      <c r="G203" s="8"/>
      <c r="H203" s="8"/>
      <c r="I203" s="2"/>
      <c r="J203" s="2"/>
      <c r="K203" s="2"/>
    </row>
    <row r="204" spans="1:11" x14ac:dyDescent="0.3">
      <c r="A204" s="8"/>
      <c r="B204" s="8"/>
      <c r="C204" s="8"/>
      <c r="D204" s="8"/>
      <c r="E204" s="8"/>
      <c r="F204" s="8"/>
      <c r="G204" s="8"/>
      <c r="H204" s="8"/>
      <c r="I204" s="2"/>
      <c r="J204" s="2"/>
      <c r="K204" s="2"/>
    </row>
    <row r="205" spans="1:11" x14ac:dyDescent="0.3">
      <c r="A205" s="8"/>
      <c r="B205" s="8"/>
      <c r="C205" s="8"/>
      <c r="D205" s="8"/>
      <c r="E205" s="8"/>
      <c r="F205" s="8"/>
      <c r="G205" s="8"/>
      <c r="H205" s="8"/>
      <c r="I205" s="2"/>
      <c r="J205" s="2"/>
      <c r="K205" s="2"/>
    </row>
    <row r="206" spans="1:11" x14ac:dyDescent="0.3">
      <c r="A206" s="8"/>
      <c r="B206" s="8"/>
      <c r="C206" s="8"/>
      <c r="D206" s="8"/>
      <c r="E206" s="8"/>
      <c r="F206" s="8"/>
      <c r="G206" s="8"/>
      <c r="H206" s="8"/>
      <c r="I206" s="2"/>
      <c r="J206" s="2"/>
      <c r="K206" s="2"/>
    </row>
    <row r="207" spans="1:11" x14ac:dyDescent="0.3">
      <c r="A207" s="8"/>
      <c r="B207" s="8"/>
      <c r="C207" s="8"/>
      <c r="D207" s="8"/>
      <c r="E207" s="8"/>
      <c r="F207" s="8"/>
      <c r="G207" s="8"/>
      <c r="H207" s="8"/>
      <c r="I207" s="2"/>
      <c r="J207" s="2"/>
      <c r="K207" s="2"/>
    </row>
    <row r="208" spans="1:11" x14ac:dyDescent="0.3">
      <c r="A208" s="8"/>
      <c r="B208" s="8"/>
      <c r="C208" s="8"/>
      <c r="D208" s="8"/>
      <c r="E208" s="8"/>
      <c r="F208" s="8"/>
      <c r="G208" s="8"/>
      <c r="H208" s="8"/>
      <c r="I208" s="2"/>
      <c r="J208" s="2"/>
      <c r="K208" s="2"/>
    </row>
    <row r="209" spans="1:11" x14ac:dyDescent="0.3">
      <c r="A209" s="8"/>
      <c r="B209" s="8"/>
      <c r="C209" s="8"/>
      <c r="D209" s="8"/>
      <c r="E209" s="8"/>
      <c r="F209" s="8"/>
      <c r="G209" s="8"/>
      <c r="H209" s="8"/>
      <c r="I209" s="2"/>
      <c r="J209" s="2"/>
      <c r="K209" s="2"/>
    </row>
    <row r="210" spans="1:11" x14ac:dyDescent="0.3">
      <c r="A210" s="8"/>
      <c r="B210" s="8"/>
      <c r="C210" s="8"/>
      <c r="D210" s="8"/>
      <c r="E210" s="8"/>
      <c r="F210" s="8"/>
      <c r="G210" s="8"/>
      <c r="H210" s="8"/>
      <c r="I210" s="2"/>
      <c r="J210" s="2"/>
      <c r="K210" s="2"/>
    </row>
    <row r="211" spans="1:11" x14ac:dyDescent="0.3">
      <c r="A211" s="8"/>
      <c r="B211" s="8"/>
      <c r="C211" s="8"/>
      <c r="D211" s="8"/>
      <c r="E211" s="8"/>
      <c r="F211" s="8"/>
      <c r="G211" s="8"/>
      <c r="H211" s="8"/>
      <c r="I211" s="2"/>
      <c r="J211" s="2"/>
      <c r="K211" s="2"/>
    </row>
    <row r="212" spans="1:11" x14ac:dyDescent="0.3">
      <c r="A212" s="8"/>
      <c r="B212" s="8"/>
      <c r="C212" s="8"/>
      <c r="D212" s="8"/>
      <c r="E212" s="8"/>
      <c r="F212" s="8"/>
      <c r="G212" s="8"/>
      <c r="H212" s="8"/>
      <c r="I212" s="2"/>
      <c r="J212" s="2"/>
      <c r="K212" s="2"/>
    </row>
    <row r="213" spans="1:11" x14ac:dyDescent="0.3">
      <c r="A213" s="8"/>
      <c r="B213" s="8"/>
      <c r="C213" s="8"/>
      <c r="D213" s="8"/>
      <c r="E213" s="8"/>
      <c r="F213" s="8"/>
      <c r="G213" s="8"/>
      <c r="H213" s="8"/>
      <c r="I213" s="2"/>
      <c r="J213" s="2"/>
      <c r="K213" s="2"/>
    </row>
    <row r="214" spans="1:11" x14ac:dyDescent="0.3">
      <c r="A214" s="8"/>
      <c r="B214" s="8"/>
      <c r="C214" s="8"/>
      <c r="D214" s="8"/>
      <c r="E214" s="8"/>
      <c r="F214" s="8"/>
      <c r="G214" s="8"/>
      <c r="H214" s="8"/>
      <c r="I214" s="2"/>
      <c r="J214" s="2"/>
      <c r="K214" s="2"/>
    </row>
    <row r="215" spans="1:11" x14ac:dyDescent="0.3">
      <c r="A215" s="8"/>
      <c r="B215" s="8"/>
      <c r="C215" s="8"/>
      <c r="D215" s="8"/>
      <c r="E215" s="8"/>
      <c r="F215" s="8"/>
      <c r="G215" s="8"/>
      <c r="H215" s="8"/>
      <c r="I215" s="2"/>
      <c r="J215" s="2"/>
      <c r="K215" s="2"/>
    </row>
    <row r="216" spans="1:11" x14ac:dyDescent="0.3">
      <c r="A216" s="8"/>
      <c r="B216" s="8"/>
      <c r="C216" s="8"/>
      <c r="D216" s="8"/>
      <c r="E216" s="8"/>
      <c r="F216" s="8"/>
      <c r="G216" s="8"/>
      <c r="H216" s="8"/>
      <c r="I216" s="2"/>
      <c r="J216" s="2"/>
      <c r="K216" s="2"/>
    </row>
    <row r="217" spans="1:11" x14ac:dyDescent="0.3">
      <c r="A217" s="8"/>
      <c r="B217" s="8"/>
      <c r="C217" s="8"/>
      <c r="D217" s="8"/>
      <c r="E217" s="8"/>
      <c r="F217" s="8"/>
      <c r="G217" s="8"/>
      <c r="H217" s="8"/>
      <c r="I217" s="2"/>
      <c r="J217" s="2"/>
      <c r="K217" s="2"/>
    </row>
    <row r="218" spans="1:11" x14ac:dyDescent="0.3">
      <c r="A218" s="8"/>
      <c r="B218" s="8"/>
      <c r="C218" s="8"/>
      <c r="D218" s="8"/>
      <c r="E218" s="8"/>
      <c r="F218" s="8"/>
      <c r="G218" s="8"/>
      <c r="H218" s="8"/>
      <c r="I218" s="2"/>
      <c r="J218" s="2"/>
      <c r="K218" s="2"/>
    </row>
    <row r="219" spans="1:11" x14ac:dyDescent="0.3">
      <c r="A219" s="8"/>
      <c r="B219" s="8"/>
      <c r="C219" s="8"/>
      <c r="D219" s="8"/>
      <c r="E219" s="8"/>
      <c r="F219" s="8"/>
      <c r="G219" s="8"/>
      <c r="H219" s="8"/>
      <c r="I219" s="2"/>
      <c r="J219" s="2"/>
      <c r="K219" s="2"/>
    </row>
    <row r="220" spans="1:11" x14ac:dyDescent="0.3">
      <c r="A220" s="8"/>
      <c r="B220" s="8"/>
      <c r="C220" s="8"/>
      <c r="D220" s="8"/>
      <c r="E220" s="8"/>
      <c r="F220" s="8"/>
      <c r="G220" s="8"/>
      <c r="H220" s="8"/>
      <c r="I220" s="2"/>
      <c r="J220" s="2"/>
      <c r="K220" s="2"/>
    </row>
    <row r="221" spans="1:11" x14ac:dyDescent="0.3">
      <c r="A221" s="8"/>
      <c r="B221" s="8"/>
      <c r="C221" s="8"/>
      <c r="D221" s="8"/>
      <c r="E221" s="8"/>
      <c r="F221" s="8"/>
      <c r="G221" s="8"/>
      <c r="H221" s="8"/>
      <c r="I221" s="2"/>
      <c r="J221" s="2"/>
      <c r="K221" s="2"/>
    </row>
    <row r="222" spans="1:11" x14ac:dyDescent="0.3">
      <c r="A222" s="8"/>
      <c r="B222" s="8"/>
      <c r="C222" s="8"/>
      <c r="D222" s="8"/>
      <c r="E222" s="8"/>
      <c r="F222" s="8"/>
      <c r="G222" s="8"/>
      <c r="H222" s="8"/>
      <c r="I222" s="2"/>
      <c r="J222" s="2"/>
      <c r="K222" s="2"/>
    </row>
    <row r="223" spans="1:11" x14ac:dyDescent="0.3">
      <c r="A223" s="8"/>
      <c r="B223" s="8"/>
      <c r="C223" s="8"/>
      <c r="D223" s="8"/>
      <c r="E223" s="8"/>
      <c r="F223" s="8"/>
      <c r="G223" s="8"/>
      <c r="H223" s="8"/>
      <c r="I223" s="2"/>
      <c r="J223" s="2"/>
      <c r="K223" s="2"/>
    </row>
    <row r="224" spans="1:11" x14ac:dyDescent="0.3">
      <c r="A224" s="8"/>
      <c r="B224" s="8"/>
      <c r="C224" s="8"/>
      <c r="D224" s="8"/>
      <c r="E224" s="8"/>
      <c r="F224" s="8"/>
      <c r="G224" s="8"/>
      <c r="H224" s="8"/>
      <c r="I224" s="2"/>
      <c r="J224" s="2"/>
      <c r="K224" s="2"/>
    </row>
    <row r="225" spans="1:11" x14ac:dyDescent="0.3">
      <c r="A225" s="8"/>
      <c r="B225" s="8"/>
      <c r="C225" s="8"/>
      <c r="D225" s="8"/>
      <c r="E225" s="8"/>
      <c r="F225" s="8"/>
      <c r="G225" s="8"/>
      <c r="H225" s="8"/>
      <c r="I225" s="2"/>
      <c r="J225" s="2"/>
      <c r="K225" s="2"/>
    </row>
    <row r="226" spans="1:11" x14ac:dyDescent="0.3">
      <c r="A226" s="8"/>
      <c r="B226" s="8"/>
      <c r="C226" s="8"/>
      <c r="D226" s="8"/>
      <c r="E226" s="8"/>
      <c r="F226" s="8"/>
      <c r="G226" s="8"/>
      <c r="H226" s="8"/>
      <c r="I226" s="2"/>
      <c r="J226" s="2"/>
      <c r="K226" s="2"/>
    </row>
    <row r="227" spans="1:11" x14ac:dyDescent="0.3">
      <c r="A227" s="8"/>
      <c r="B227" s="8"/>
      <c r="C227" s="8"/>
      <c r="D227" s="8"/>
      <c r="E227" s="8"/>
      <c r="F227" s="8"/>
      <c r="G227" s="8"/>
      <c r="H227" s="8"/>
      <c r="I227" s="2"/>
      <c r="J227" s="2"/>
      <c r="K227" s="2"/>
    </row>
    <row r="228" spans="1:11" x14ac:dyDescent="0.3">
      <c r="A228" s="8"/>
      <c r="B228" s="8"/>
      <c r="C228" s="8"/>
      <c r="D228" s="8"/>
      <c r="E228" s="8"/>
      <c r="F228" s="8"/>
      <c r="G228" s="8"/>
      <c r="H228" s="8"/>
      <c r="I228" s="2"/>
      <c r="J228" s="2"/>
      <c r="K228" s="2"/>
    </row>
    <row r="229" spans="1:11" x14ac:dyDescent="0.3">
      <c r="A229" s="8"/>
      <c r="B229" s="8"/>
      <c r="C229" s="8"/>
      <c r="D229" s="8"/>
      <c r="E229" s="8"/>
      <c r="F229" s="8"/>
      <c r="G229" s="8"/>
      <c r="H229" s="8"/>
      <c r="I229" s="2"/>
      <c r="J229" s="2"/>
      <c r="K229" s="2"/>
    </row>
    <row r="230" spans="1:11" x14ac:dyDescent="0.3">
      <c r="A230" s="8"/>
      <c r="B230" s="8"/>
      <c r="C230" s="8"/>
      <c r="D230" s="8"/>
      <c r="E230" s="8"/>
      <c r="F230" s="8"/>
      <c r="G230" s="8"/>
      <c r="H230" s="8"/>
      <c r="I230" s="2"/>
      <c r="J230" s="2"/>
      <c r="K230" s="2"/>
    </row>
    <row r="231" spans="1:11" x14ac:dyDescent="0.3">
      <c r="A231" s="8"/>
      <c r="B231" s="8"/>
      <c r="C231" s="8"/>
      <c r="D231" s="8"/>
      <c r="E231" s="8"/>
      <c r="F231" s="8"/>
      <c r="G231" s="8"/>
      <c r="H231" s="8"/>
      <c r="I231" s="2"/>
      <c r="J231" s="2"/>
      <c r="K231" s="2"/>
    </row>
    <row r="232" spans="1:11" x14ac:dyDescent="0.3">
      <c r="A232" s="8"/>
      <c r="B232" s="8"/>
      <c r="C232" s="8"/>
      <c r="D232" s="8"/>
      <c r="E232" s="8"/>
      <c r="F232" s="8"/>
      <c r="G232" s="8"/>
      <c r="H232" s="8"/>
      <c r="I232" s="2"/>
      <c r="J232" s="2"/>
      <c r="K232" s="2"/>
    </row>
    <row r="233" spans="1:11" x14ac:dyDescent="0.3">
      <c r="A233" s="8"/>
      <c r="B233" s="8"/>
      <c r="C233" s="8"/>
      <c r="D233" s="8"/>
      <c r="E233" s="8"/>
      <c r="F233" s="8"/>
      <c r="G233" s="8"/>
      <c r="H233" s="8"/>
      <c r="I233" s="2"/>
      <c r="J233" s="2"/>
      <c r="K233" s="2"/>
    </row>
    <row r="234" spans="1:11" x14ac:dyDescent="0.3">
      <c r="A234" s="8"/>
      <c r="B234" s="8"/>
      <c r="C234" s="8"/>
      <c r="D234" s="8"/>
      <c r="E234" s="8"/>
      <c r="F234" s="8"/>
      <c r="G234" s="8"/>
      <c r="H234" s="8"/>
      <c r="I234" s="2"/>
      <c r="J234" s="2"/>
      <c r="K234" s="2"/>
    </row>
    <row r="235" spans="1:11" x14ac:dyDescent="0.3">
      <c r="A235" s="8"/>
      <c r="B235" s="8"/>
      <c r="C235" s="8"/>
      <c r="D235" s="8"/>
      <c r="E235" s="8"/>
      <c r="F235" s="8"/>
      <c r="G235" s="8"/>
      <c r="H235" s="8"/>
      <c r="I235" s="2"/>
      <c r="J235" s="2"/>
      <c r="K235" s="2"/>
    </row>
    <row r="236" spans="1:11" x14ac:dyDescent="0.3">
      <c r="A236" s="8"/>
      <c r="B236" s="8"/>
      <c r="C236" s="8"/>
      <c r="D236" s="8"/>
      <c r="E236" s="8"/>
      <c r="F236" s="8"/>
      <c r="G236" s="8"/>
      <c r="H236" s="8"/>
      <c r="I236" s="2"/>
      <c r="J236" s="2"/>
      <c r="K236" s="2"/>
    </row>
    <row r="237" spans="1:11" x14ac:dyDescent="0.3">
      <c r="A237" s="8"/>
      <c r="B237" s="8"/>
      <c r="C237" s="8"/>
      <c r="D237" s="8"/>
      <c r="E237" s="8"/>
      <c r="F237" s="8"/>
      <c r="G237" s="8"/>
      <c r="H237" s="8"/>
      <c r="I237" s="2"/>
      <c r="J237" s="2"/>
      <c r="K237" s="2"/>
    </row>
    <row r="238" spans="1:11" x14ac:dyDescent="0.3">
      <c r="A238" s="8"/>
      <c r="B238" s="8"/>
      <c r="C238" s="8"/>
      <c r="D238" s="8"/>
      <c r="E238" s="8"/>
      <c r="F238" s="8"/>
      <c r="G238" s="8"/>
      <c r="H238" s="8"/>
      <c r="I238" s="2"/>
      <c r="J238" s="2"/>
      <c r="K238" s="2"/>
    </row>
    <row r="239" spans="1:11" x14ac:dyDescent="0.3">
      <c r="A239" s="8"/>
      <c r="B239" s="8"/>
      <c r="C239" s="8"/>
      <c r="D239" s="8"/>
      <c r="E239" s="8"/>
      <c r="F239" s="8"/>
      <c r="G239" s="8"/>
      <c r="H239" s="8"/>
      <c r="I239" s="2"/>
      <c r="J239" s="2"/>
      <c r="K239" s="2"/>
    </row>
    <row r="240" spans="1:11" x14ac:dyDescent="0.3">
      <c r="A240" s="8"/>
      <c r="B240" s="8"/>
      <c r="C240" s="8"/>
      <c r="D240" s="8"/>
      <c r="E240" s="8"/>
      <c r="F240" s="8"/>
      <c r="G240" s="8"/>
      <c r="H240" s="8"/>
      <c r="I240" s="2"/>
      <c r="J240" s="2"/>
      <c r="K240" s="2"/>
    </row>
    <row r="241" spans="1:11" x14ac:dyDescent="0.3">
      <c r="A241" s="8"/>
      <c r="B241" s="8"/>
      <c r="C241" s="8"/>
      <c r="D241" s="8"/>
      <c r="E241" s="8"/>
      <c r="F241" s="8"/>
      <c r="G241" s="8"/>
      <c r="H241" s="8"/>
      <c r="I241" s="2"/>
      <c r="J241" s="2"/>
      <c r="K241" s="2"/>
    </row>
    <row r="242" spans="1:11" x14ac:dyDescent="0.3">
      <c r="A242" s="8"/>
      <c r="B242" s="8"/>
      <c r="C242" s="8"/>
      <c r="D242" s="8"/>
      <c r="E242" s="8"/>
      <c r="F242" s="8"/>
      <c r="G242" s="8"/>
      <c r="H242" s="8"/>
      <c r="I242" s="2"/>
      <c r="J242" s="2"/>
      <c r="K242" s="2"/>
    </row>
    <row r="243" spans="1:11" x14ac:dyDescent="0.3">
      <c r="A243" s="8"/>
      <c r="B243" s="8"/>
      <c r="C243" s="8"/>
      <c r="D243" s="8"/>
      <c r="E243" s="8"/>
      <c r="F243" s="8"/>
      <c r="G243" s="8"/>
      <c r="H243" s="8"/>
      <c r="I243" s="2"/>
      <c r="J243" s="2"/>
      <c r="K243" s="2"/>
    </row>
    <row r="244" spans="1:11" x14ac:dyDescent="0.3">
      <c r="A244" s="8"/>
      <c r="B244" s="8"/>
      <c r="C244" s="8"/>
      <c r="D244" s="8"/>
      <c r="E244" s="8"/>
      <c r="F244" s="8"/>
      <c r="G244" s="8"/>
      <c r="H244" s="8"/>
      <c r="I244" s="2"/>
      <c r="J244" s="2"/>
      <c r="K244" s="2"/>
    </row>
    <row r="245" spans="1:11" x14ac:dyDescent="0.3">
      <c r="A245" s="8"/>
      <c r="B245" s="8"/>
      <c r="C245" s="8"/>
      <c r="D245" s="8"/>
      <c r="E245" s="8"/>
      <c r="F245" s="8"/>
      <c r="G245" s="8"/>
      <c r="H245" s="8"/>
      <c r="I245" s="2"/>
      <c r="J245" s="2"/>
      <c r="K245" s="2"/>
    </row>
    <row r="246" spans="1:11" x14ac:dyDescent="0.3">
      <c r="A246" s="8"/>
      <c r="B246" s="8"/>
      <c r="C246" s="8"/>
      <c r="D246" s="8"/>
      <c r="E246" s="8"/>
      <c r="F246" s="8"/>
      <c r="G246" s="8"/>
      <c r="H246" s="8"/>
      <c r="I246" s="2"/>
      <c r="J246" s="2"/>
      <c r="K246" s="2"/>
    </row>
    <row r="247" spans="1:11" x14ac:dyDescent="0.3">
      <c r="A247" s="8"/>
      <c r="B247" s="8"/>
      <c r="C247" s="8"/>
      <c r="D247" s="8"/>
      <c r="E247" s="8"/>
      <c r="F247" s="8"/>
      <c r="G247" s="8"/>
      <c r="H247" s="8"/>
      <c r="I247" s="2"/>
      <c r="J247" s="2"/>
      <c r="K247" s="2"/>
    </row>
    <row r="248" spans="1:11" x14ac:dyDescent="0.3">
      <c r="A248" s="8"/>
      <c r="B248" s="8"/>
      <c r="C248" s="8"/>
      <c r="D248" s="8"/>
      <c r="E248" s="8"/>
      <c r="F248" s="8"/>
      <c r="G248" s="8"/>
      <c r="H248" s="8"/>
      <c r="I248" s="2"/>
      <c r="J248" s="2"/>
      <c r="K248" s="2"/>
    </row>
    <row r="249" spans="1:11" x14ac:dyDescent="0.3">
      <c r="A249" s="8"/>
      <c r="B249" s="8"/>
      <c r="C249" s="8"/>
      <c r="D249" s="8"/>
      <c r="E249" s="8"/>
      <c r="F249" s="8"/>
      <c r="G249" s="8"/>
      <c r="H249" s="8"/>
      <c r="I249" s="2"/>
      <c r="J249" s="2"/>
      <c r="K249" s="2"/>
    </row>
    <row r="250" spans="1:11" x14ac:dyDescent="0.3">
      <c r="A250" s="8"/>
      <c r="B250" s="8"/>
      <c r="C250" s="8"/>
      <c r="D250" s="8"/>
      <c r="E250" s="8"/>
      <c r="F250" s="8"/>
      <c r="G250" s="8"/>
      <c r="H250" s="8"/>
      <c r="I250" s="2"/>
      <c r="J250" s="2"/>
      <c r="K250" s="2"/>
    </row>
    <row r="251" spans="1:11" x14ac:dyDescent="0.3">
      <c r="A251" s="8"/>
      <c r="B251" s="8"/>
      <c r="C251" s="8"/>
      <c r="D251" s="8"/>
      <c r="E251" s="8"/>
      <c r="F251" s="8"/>
      <c r="G251" s="8"/>
      <c r="H251" s="8"/>
      <c r="I251" s="2"/>
      <c r="J251" s="2"/>
      <c r="K251" s="2"/>
    </row>
    <row r="252" spans="1:11" x14ac:dyDescent="0.3">
      <c r="A252" s="8"/>
      <c r="B252" s="8"/>
      <c r="C252" s="8"/>
      <c r="D252" s="8"/>
      <c r="E252" s="8"/>
      <c r="F252" s="8"/>
      <c r="G252" s="8"/>
      <c r="H252" s="8"/>
      <c r="I252" s="2"/>
      <c r="J252" s="2"/>
      <c r="K252" s="2"/>
    </row>
    <row r="253" spans="1:11" x14ac:dyDescent="0.3">
      <c r="A253" s="8"/>
      <c r="B253" s="8"/>
      <c r="C253" s="8"/>
      <c r="D253" s="8"/>
      <c r="E253" s="8"/>
      <c r="F253" s="8"/>
      <c r="G253" s="8"/>
      <c r="H253" s="8"/>
      <c r="I253" s="2"/>
      <c r="J253" s="2"/>
      <c r="K253" s="2"/>
    </row>
    <row r="254" spans="1:11" x14ac:dyDescent="0.3">
      <c r="A254" s="8"/>
      <c r="B254" s="8"/>
      <c r="C254" s="8"/>
      <c r="D254" s="8"/>
      <c r="E254" s="8"/>
      <c r="F254" s="8"/>
      <c r="G254" s="8"/>
      <c r="H254" s="8"/>
      <c r="I254" s="2"/>
      <c r="J254" s="2"/>
      <c r="K254" s="2"/>
    </row>
    <row r="255" spans="1:11" x14ac:dyDescent="0.3">
      <c r="A255" s="8"/>
      <c r="B255" s="8"/>
      <c r="C255" s="8"/>
      <c r="D255" s="8"/>
      <c r="E255" s="8"/>
      <c r="F255" s="8"/>
      <c r="G255" s="8"/>
      <c r="H255" s="8"/>
      <c r="I255" s="2"/>
      <c r="J255" s="2"/>
      <c r="K255" s="2"/>
    </row>
    <row r="256" spans="1:11" x14ac:dyDescent="0.3">
      <c r="A256" s="8"/>
      <c r="B256" s="8"/>
      <c r="C256" s="8"/>
      <c r="D256" s="8"/>
      <c r="E256" s="8"/>
      <c r="F256" s="8"/>
      <c r="G256" s="8"/>
      <c r="H256" s="8"/>
      <c r="I256" s="2"/>
      <c r="J256" s="2"/>
      <c r="K256" s="2"/>
    </row>
    <row r="257" spans="1:11" x14ac:dyDescent="0.3">
      <c r="A257" s="8"/>
      <c r="B257" s="8"/>
      <c r="C257" s="8"/>
      <c r="D257" s="8"/>
      <c r="E257" s="8"/>
      <c r="F257" s="8"/>
      <c r="G257" s="8"/>
      <c r="H257" s="8"/>
      <c r="I257" s="2"/>
      <c r="J257" s="2"/>
      <c r="K257" s="2"/>
    </row>
    <row r="258" spans="1:11" x14ac:dyDescent="0.3">
      <c r="A258" s="8"/>
      <c r="B258" s="8"/>
      <c r="C258" s="8"/>
      <c r="D258" s="8"/>
      <c r="E258" s="8"/>
      <c r="F258" s="8"/>
      <c r="G258" s="8"/>
      <c r="H258" s="8"/>
      <c r="I258" s="2"/>
      <c r="J258" s="2"/>
      <c r="K258" s="2"/>
    </row>
    <row r="259" spans="1:11" x14ac:dyDescent="0.3">
      <c r="A259" s="8"/>
      <c r="B259" s="8"/>
      <c r="C259" s="8"/>
      <c r="D259" s="8"/>
      <c r="E259" s="8"/>
      <c r="F259" s="8"/>
      <c r="G259" s="8"/>
      <c r="H259" s="8"/>
      <c r="I259" s="2"/>
      <c r="J259" s="2"/>
      <c r="K259" s="2"/>
    </row>
    <row r="260" spans="1:11" x14ac:dyDescent="0.3">
      <c r="A260" s="8"/>
      <c r="B260" s="8"/>
      <c r="C260" s="8"/>
      <c r="D260" s="8"/>
      <c r="E260" s="8"/>
      <c r="F260" s="8"/>
      <c r="G260" s="8"/>
      <c r="H260" s="8"/>
      <c r="I260" s="2"/>
      <c r="J260" s="2"/>
      <c r="K260" s="2"/>
    </row>
    <row r="261" spans="1:11" x14ac:dyDescent="0.3">
      <c r="A261" s="8"/>
      <c r="B261" s="8"/>
      <c r="C261" s="8"/>
      <c r="D261" s="8"/>
      <c r="E261" s="8"/>
      <c r="F261" s="8"/>
      <c r="G261" s="8"/>
      <c r="H261" s="8"/>
      <c r="I261" s="2"/>
      <c r="J261" s="2"/>
      <c r="K261" s="2"/>
    </row>
    <row r="262" spans="1:11" x14ac:dyDescent="0.3">
      <c r="A262" s="8"/>
      <c r="B262" s="8"/>
      <c r="C262" s="8"/>
      <c r="D262" s="8"/>
      <c r="E262" s="8"/>
      <c r="F262" s="8"/>
      <c r="G262" s="8"/>
      <c r="H262" s="8"/>
      <c r="I262" s="2"/>
      <c r="J262" s="2"/>
      <c r="K262" s="2"/>
    </row>
    <row r="263" spans="1:11" x14ac:dyDescent="0.3">
      <c r="A263" s="8"/>
      <c r="B263" s="8"/>
      <c r="C263" s="8"/>
      <c r="D263" s="8"/>
      <c r="E263" s="8"/>
      <c r="F263" s="8"/>
      <c r="G263" s="8"/>
      <c r="H263" s="8"/>
      <c r="I263" s="2"/>
      <c r="J263" s="2"/>
      <c r="K263" s="2"/>
    </row>
    <row r="264" spans="1:11" x14ac:dyDescent="0.3">
      <c r="A264" s="8"/>
      <c r="B264" s="8"/>
      <c r="C264" s="8"/>
      <c r="D264" s="8"/>
      <c r="E264" s="8"/>
      <c r="F264" s="8"/>
      <c r="G264" s="8"/>
      <c r="H264" s="8"/>
      <c r="I264" s="2"/>
      <c r="J264" s="2"/>
      <c r="K264" s="2"/>
    </row>
    <row r="265" spans="1:11" x14ac:dyDescent="0.3">
      <c r="A265" s="8"/>
      <c r="B265" s="8"/>
      <c r="C265" s="8"/>
      <c r="D265" s="8"/>
      <c r="E265" s="8"/>
      <c r="F265" s="8"/>
      <c r="G265" s="8"/>
      <c r="H265" s="8"/>
      <c r="I265" s="2"/>
      <c r="J265" s="2"/>
      <c r="K265" s="2"/>
    </row>
    <row r="266" spans="1:11" x14ac:dyDescent="0.3">
      <c r="A266" s="8"/>
      <c r="B266" s="8"/>
      <c r="C266" s="8"/>
      <c r="D266" s="8"/>
      <c r="E266" s="8"/>
      <c r="F266" s="8"/>
      <c r="G266" s="8"/>
      <c r="H266" s="8"/>
      <c r="I266" s="2"/>
      <c r="J266" s="2"/>
      <c r="K266" s="2"/>
    </row>
    <row r="267" spans="1:11" x14ac:dyDescent="0.3">
      <c r="A267" s="8"/>
      <c r="B267" s="8"/>
      <c r="C267" s="8"/>
      <c r="D267" s="8"/>
      <c r="E267" s="8"/>
      <c r="F267" s="8"/>
      <c r="G267" s="8"/>
      <c r="H267" s="8"/>
      <c r="I267" s="2"/>
      <c r="J267" s="2"/>
      <c r="K267" s="2"/>
    </row>
    <row r="268" spans="1:11" x14ac:dyDescent="0.3">
      <c r="A268" s="8"/>
      <c r="B268" s="8"/>
      <c r="C268" s="8"/>
      <c r="D268" s="8"/>
      <c r="E268" s="8"/>
      <c r="F268" s="8"/>
      <c r="G268" s="8"/>
      <c r="H268" s="8"/>
      <c r="I268" s="2"/>
      <c r="J268" s="2"/>
      <c r="K268" s="2"/>
    </row>
    <row r="269" spans="1:11" x14ac:dyDescent="0.3">
      <c r="A269" s="8"/>
      <c r="B269" s="8"/>
      <c r="C269" s="8"/>
      <c r="D269" s="8"/>
      <c r="E269" s="8"/>
      <c r="F269" s="8"/>
      <c r="G269" s="8"/>
      <c r="H269" s="8"/>
      <c r="I269" s="2"/>
      <c r="J269" s="2"/>
      <c r="K269" s="2"/>
    </row>
    <row r="270" spans="1:11" x14ac:dyDescent="0.3">
      <c r="A270" s="8"/>
      <c r="B270" s="8"/>
      <c r="C270" s="8"/>
      <c r="D270" s="8"/>
      <c r="E270" s="8"/>
      <c r="F270" s="8"/>
      <c r="G270" s="8"/>
      <c r="H270" s="8"/>
      <c r="I270" s="2"/>
      <c r="J270" s="2"/>
      <c r="K270" s="2"/>
    </row>
    <row r="271" spans="1:11" x14ac:dyDescent="0.3">
      <c r="A271" s="8"/>
      <c r="B271" s="8"/>
      <c r="C271" s="8"/>
      <c r="D271" s="8"/>
      <c r="E271" s="8"/>
      <c r="F271" s="8"/>
      <c r="G271" s="8"/>
      <c r="H271" s="8"/>
      <c r="I271" s="2"/>
      <c r="J271" s="2"/>
      <c r="K271" s="2"/>
    </row>
    <row r="272" spans="1:11" x14ac:dyDescent="0.3">
      <c r="A272" s="8"/>
      <c r="B272" s="8"/>
      <c r="C272" s="8"/>
      <c r="D272" s="8"/>
      <c r="E272" s="8"/>
      <c r="F272" s="8"/>
      <c r="G272" s="8"/>
      <c r="H272" s="8"/>
      <c r="I272" s="2"/>
      <c r="J272" s="2"/>
      <c r="K272" s="2"/>
    </row>
    <row r="273" spans="1:11" x14ac:dyDescent="0.3">
      <c r="A273" s="8"/>
      <c r="B273" s="8"/>
      <c r="C273" s="8"/>
      <c r="D273" s="8"/>
      <c r="E273" s="8"/>
      <c r="F273" s="8"/>
      <c r="G273" s="8"/>
      <c r="H273" s="8"/>
      <c r="I273" s="2"/>
      <c r="J273" s="2"/>
      <c r="K273" s="2"/>
    </row>
    <row r="274" spans="1:11" x14ac:dyDescent="0.3">
      <c r="A274" s="8"/>
      <c r="B274" s="8"/>
      <c r="C274" s="8"/>
      <c r="D274" s="8"/>
      <c r="E274" s="8"/>
      <c r="F274" s="8"/>
      <c r="G274" s="8"/>
      <c r="H274" s="8"/>
      <c r="I274" s="2"/>
      <c r="J274" s="2"/>
      <c r="K274" s="2"/>
    </row>
    <row r="275" spans="1:11" x14ac:dyDescent="0.3">
      <c r="A275" s="8"/>
      <c r="B275" s="8"/>
      <c r="C275" s="8"/>
      <c r="D275" s="8"/>
      <c r="E275" s="8"/>
      <c r="F275" s="8"/>
      <c r="G275" s="8"/>
      <c r="H275" s="8"/>
      <c r="I275" s="2"/>
      <c r="J275" s="2"/>
      <c r="K275" s="2"/>
    </row>
    <row r="276" spans="1:11" x14ac:dyDescent="0.3">
      <c r="A276" s="8"/>
      <c r="B276" s="8"/>
      <c r="C276" s="8"/>
      <c r="D276" s="8"/>
      <c r="E276" s="8"/>
      <c r="F276" s="8"/>
      <c r="G276" s="8"/>
      <c r="H276" s="8"/>
      <c r="I276" s="2"/>
      <c r="J276" s="2"/>
      <c r="K276" s="2"/>
    </row>
    <row r="277" spans="1:11" x14ac:dyDescent="0.3">
      <c r="A277" s="8"/>
      <c r="B277" s="8"/>
      <c r="C277" s="8"/>
      <c r="D277" s="8"/>
      <c r="E277" s="8"/>
      <c r="F277" s="8"/>
      <c r="G277" s="8"/>
      <c r="H277" s="8"/>
      <c r="I277" s="2"/>
      <c r="J277" s="2"/>
      <c r="K277" s="2"/>
    </row>
    <row r="278" spans="1:11" x14ac:dyDescent="0.3">
      <c r="A278" s="8"/>
      <c r="B278" s="8"/>
      <c r="C278" s="8"/>
      <c r="D278" s="8"/>
      <c r="E278" s="8"/>
      <c r="F278" s="8"/>
      <c r="G278" s="8"/>
      <c r="H278" s="8"/>
      <c r="I278" s="2"/>
      <c r="J278" s="2"/>
      <c r="K278" s="2"/>
    </row>
    <row r="279" spans="1:11" x14ac:dyDescent="0.3">
      <c r="A279" s="8"/>
      <c r="B279" s="8"/>
      <c r="C279" s="8"/>
      <c r="D279" s="8"/>
      <c r="E279" s="8"/>
      <c r="F279" s="8"/>
      <c r="G279" s="8"/>
      <c r="H279" s="8"/>
      <c r="I279" s="2"/>
      <c r="J279" s="2"/>
      <c r="K279" s="2"/>
    </row>
    <row r="280" spans="1:11" x14ac:dyDescent="0.3">
      <c r="A280" s="8"/>
      <c r="B280" s="8"/>
      <c r="C280" s="8"/>
      <c r="D280" s="8"/>
      <c r="E280" s="8"/>
      <c r="F280" s="8"/>
      <c r="G280" s="8"/>
      <c r="H280" s="8"/>
      <c r="I280" s="2"/>
      <c r="J280" s="2"/>
      <c r="K280" s="2"/>
    </row>
    <row r="281" spans="1:11" x14ac:dyDescent="0.3">
      <c r="A281" s="8"/>
      <c r="B281" s="8"/>
      <c r="C281" s="8"/>
      <c r="D281" s="8"/>
      <c r="E281" s="8"/>
      <c r="F281" s="8"/>
      <c r="G281" s="8"/>
      <c r="H281" s="8"/>
      <c r="I281" s="2"/>
      <c r="J281" s="2"/>
      <c r="K281" s="2"/>
    </row>
    <row r="282" spans="1:11" x14ac:dyDescent="0.3">
      <c r="A282" s="8"/>
      <c r="B282" s="8"/>
      <c r="C282" s="8"/>
      <c r="D282" s="8"/>
      <c r="E282" s="8"/>
      <c r="F282" s="8"/>
      <c r="G282" s="8"/>
      <c r="H282" s="8"/>
      <c r="I282" s="2"/>
      <c r="J282" s="2"/>
      <c r="K282" s="2"/>
    </row>
    <row r="283" spans="1:11" x14ac:dyDescent="0.3">
      <c r="A283" s="8"/>
      <c r="B283" s="8"/>
      <c r="C283" s="8"/>
      <c r="D283" s="8"/>
      <c r="E283" s="8"/>
      <c r="F283" s="8"/>
      <c r="G283" s="8"/>
      <c r="H283" s="8"/>
      <c r="I283" s="2"/>
      <c r="J283" s="2"/>
      <c r="K283" s="2"/>
    </row>
    <row r="284" spans="1:11" x14ac:dyDescent="0.3">
      <c r="A284" s="8"/>
      <c r="B284" s="8"/>
      <c r="C284" s="8"/>
      <c r="D284" s="8"/>
      <c r="E284" s="8"/>
      <c r="F284" s="8"/>
      <c r="G284" s="8"/>
      <c r="H284" s="8"/>
      <c r="I284" s="2"/>
      <c r="J284" s="2"/>
      <c r="K284" s="2"/>
    </row>
    <row r="285" spans="1:11" x14ac:dyDescent="0.3">
      <c r="A285" s="8"/>
      <c r="B285" s="8"/>
      <c r="C285" s="8"/>
      <c r="D285" s="8"/>
      <c r="E285" s="8"/>
      <c r="F285" s="8"/>
      <c r="G285" s="8"/>
      <c r="H285" s="8"/>
      <c r="I285" s="2"/>
      <c r="J285" s="2"/>
      <c r="K285" s="2"/>
    </row>
    <row r="286" spans="1:11" x14ac:dyDescent="0.3">
      <c r="A286" s="8"/>
      <c r="B286" s="8"/>
      <c r="C286" s="8"/>
      <c r="D286" s="8"/>
      <c r="E286" s="8"/>
      <c r="F286" s="8"/>
      <c r="G286" s="8"/>
      <c r="H286" s="8"/>
      <c r="I286" s="2"/>
      <c r="J286" s="2"/>
      <c r="K286" s="2"/>
    </row>
    <row r="287" spans="1:11" x14ac:dyDescent="0.3">
      <c r="A287" s="8"/>
      <c r="B287" s="8"/>
      <c r="C287" s="8"/>
      <c r="D287" s="8"/>
      <c r="E287" s="8"/>
      <c r="F287" s="8"/>
      <c r="G287" s="8"/>
      <c r="H287" s="8"/>
      <c r="I287" s="2"/>
      <c r="J287" s="2"/>
      <c r="K287" s="2"/>
    </row>
    <row r="288" spans="1:11" x14ac:dyDescent="0.3">
      <c r="A288" s="8"/>
      <c r="B288" s="8"/>
      <c r="C288" s="8"/>
      <c r="D288" s="8"/>
      <c r="E288" s="8"/>
      <c r="F288" s="8"/>
      <c r="G288" s="8"/>
      <c r="H288" s="8"/>
      <c r="I288" s="2"/>
      <c r="J288" s="2"/>
      <c r="K288" s="2"/>
    </row>
    <row r="289" spans="1:11" x14ac:dyDescent="0.3">
      <c r="A289" s="8"/>
      <c r="B289" s="8"/>
      <c r="C289" s="8"/>
      <c r="D289" s="8"/>
      <c r="E289" s="8"/>
      <c r="F289" s="8"/>
      <c r="G289" s="8"/>
      <c r="H289" s="8"/>
      <c r="I289" s="2"/>
      <c r="J289" s="2"/>
      <c r="K289" s="2"/>
    </row>
    <row r="290" spans="1:11" x14ac:dyDescent="0.3">
      <c r="A290" s="8"/>
      <c r="B290" s="8"/>
      <c r="C290" s="8"/>
      <c r="D290" s="8"/>
      <c r="E290" s="8"/>
      <c r="F290" s="8"/>
      <c r="G290" s="8"/>
      <c r="H290" s="8"/>
      <c r="I290" s="2"/>
      <c r="J290" s="2"/>
      <c r="K290" s="2"/>
    </row>
    <row r="291" spans="1:11" x14ac:dyDescent="0.3">
      <c r="A291" s="8"/>
      <c r="B291" s="8"/>
      <c r="C291" s="8"/>
      <c r="D291" s="8"/>
      <c r="E291" s="8"/>
      <c r="F291" s="8"/>
      <c r="G291" s="8"/>
      <c r="H291" s="8"/>
      <c r="I291" s="2"/>
      <c r="J291" s="2"/>
      <c r="K291" s="2"/>
    </row>
    <row r="292" spans="1:11" x14ac:dyDescent="0.3">
      <c r="A292" s="8"/>
      <c r="B292" s="8"/>
      <c r="C292" s="8"/>
      <c r="D292" s="8"/>
      <c r="E292" s="8"/>
      <c r="F292" s="8"/>
      <c r="G292" s="8"/>
      <c r="H292" s="8"/>
      <c r="I292" s="2"/>
      <c r="J292" s="2"/>
      <c r="K292" s="2"/>
    </row>
    <row r="293" spans="1:11" x14ac:dyDescent="0.3">
      <c r="A293" s="8"/>
      <c r="B293" s="8"/>
      <c r="C293" s="8"/>
      <c r="D293" s="8"/>
      <c r="E293" s="8"/>
      <c r="F293" s="8"/>
      <c r="G293" s="8"/>
      <c r="H293" s="8"/>
      <c r="I293" s="2"/>
      <c r="J293" s="2"/>
      <c r="K293" s="2"/>
    </row>
    <row r="294" spans="1:11" x14ac:dyDescent="0.3">
      <c r="A294" s="8"/>
      <c r="B294" s="8"/>
      <c r="C294" s="8"/>
      <c r="D294" s="8"/>
      <c r="E294" s="8"/>
      <c r="F294" s="8"/>
      <c r="G294" s="8"/>
      <c r="H294" s="8"/>
      <c r="I294" s="2"/>
      <c r="J294" s="2"/>
      <c r="K294" s="2"/>
    </row>
    <row r="295" spans="1:11" x14ac:dyDescent="0.3">
      <c r="A295" s="8"/>
      <c r="B295" s="8"/>
      <c r="C295" s="8"/>
      <c r="D295" s="8"/>
      <c r="E295" s="8"/>
      <c r="F295" s="8"/>
      <c r="G295" s="8"/>
      <c r="H295" s="8"/>
      <c r="I295" s="2"/>
      <c r="J295" s="2"/>
      <c r="K295" s="2"/>
    </row>
    <row r="296" spans="1:11" x14ac:dyDescent="0.3">
      <c r="A296" s="8"/>
      <c r="B296" s="8"/>
      <c r="C296" s="8"/>
      <c r="D296" s="8"/>
      <c r="E296" s="8"/>
      <c r="F296" s="8"/>
      <c r="G296" s="8"/>
      <c r="H296" s="8"/>
      <c r="I296" s="2"/>
      <c r="J296" s="2"/>
      <c r="K296" s="2"/>
    </row>
    <row r="297" spans="1:11" x14ac:dyDescent="0.3">
      <c r="A297" s="8"/>
      <c r="B297" s="8"/>
      <c r="C297" s="8"/>
      <c r="D297" s="8"/>
      <c r="E297" s="8"/>
      <c r="F297" s="8"/>
      <c r="G297" s="8"/>
      <c r="H297" s="8"/>
      <c r="I297" s="2"/>
      <c r="J297" s="2"/>
      <c r="K297" s="2"/>
    </row>
    <row r="298" spans="1:11" x14ac:dyDescent="0.3">
      <c r="A298" s="8"/>
      <c r="B298" s="8"/>
      <c r="C298" s="8"/>
      <c r="D298" s="8"/>
      <c r="E298" s="8"/>
      <c r="F298" s="8"/>
      <c r="G298" s="8"/>
      <c r="H298" s="8"/>
      <c r="I298" s="2"/>
      <c r="J298" s="2"/>
      <c r="K298" s="2"/>
    </row>
    <row r="299" spans="1:11" x14ac:dyDescent="0.3">
      <c r="A299" s="8"/>
      <c r="B299" s="8"/>
      <c r="C299" s="8"/>
      <c r="D299" s="8"/>
      <c r="E299" s="8"/>
      <c r="F299" s="8"/>
      <c r="G299" s="8"/>
      <c r="H299" s="8"/>
      <c r="I299" s="2"/>
      <c r="J299" s="2"/>
      <c r="K299" s="2"/>
    </row>
    <row r="300" spans="1:11" x14ac:dyDescent="0.3">
      <c r="A300" s="8"/>
      <c r="B300" s="8"/>
      <c r="C300" s="8"/>
      <c r="D300" s="8"/>
      <c r="E300" s="8"/>
      <c r="F300" s="8"/>
      <c r="G300" s="8"/>
      <c r="H300" s="8"/>
      <c r="I300" s="2"/>
      <c r="J300" s="2"/>
      <c r="K300" s="2"/>
    </row>
    <row r="301" spans="1:11" x14ac:dyDescent="0.3">
      <c r="A301" s="8"/>
      <c r="B301" s="8"/>
      <c r="C301" s="8"/>
      <c r="D301" s="8"/>
      <c r="E301" s="8"/>
      <c r="F301" s="8"/>
      <c r="G301" s="8"/>
      <c r="H301" s="8"/>
      <c r="I301" s="2"/>
      <c r="J301" s="2"/>
      <c r="K301" s="2"/>
    </row>
    <row r="302" spans="1:11" x14ac:dyDescent="0.3">
      <c r="A302" s="8"/>
      <c r="B302" s="8"/>
      <c r="C302" s="8"/>
      <c r="D302" s="8"/>
      <c r="E302" s="8"/>
      <c r="F302" s="8"/>
      <c r="G302" s="8"/>
      <c r="H302" s="8"/>
    </row>
    <row r="303" spans="1:11" x14ac:dyDescent="0.3">
      <c r="A303" s="8"/>
      <c r="B303" s="8"/>
      <c r="C303" s="8"/>
      <c r="D303" s="8"/>
      <c r="E303" s="8"/>
      <c r="F303" s="8"/>
      <c r="G303" s="8"/>
      <c r="H303" s="8"/>
    </row>
    <row r="304" spans="1:11" x14ac:dyDescent="0.3">
      <c r="A304" s="8"/>
      <c r="B304" s="8"/>
      <c r="C304" s="8"/>
      <c r="D304" s="8"/>
      <c r="E304" s="8"/>
      <c r="F304" s="8"/>
      <c r="G304" s="8"/>
      <c r="H304" s="8"/>
    </row>
    <row r="305" spans="1:8" x14ac:dyDescent="0.3">
      <c r="A305" s="8"/>
      <c r="B305" s="8"/>
      <c r="C305" s="8"/>
      <c r="D305" s="8"/>
      <c r="E305" s="8"/>
      <c r="F305" s="8"/>
      <c r="G305" s="8"/>
      <c r="H305" s="8"/>
    </row>
    <row r="306" spans="1:8" x14ac:dyDescent="0.3">
      <c r="A306" s="8"/>
      <c r="B306" s="8"/>
      <c r="C306" s="8"/>
      <c r="D306" s="8"/>
      <c r="E306" s="8"/>
      <c r="F306" s="8"/>
      <c r="G306" s="8"/>
      <c r="H306" s="8"/>
    </row>
  </sheetData>
  <sheetProtection algorithmName="SHA-512" hashValue="Us04IVP4TuJzC/y1DKOzMeKRylP/vhqATlMJM4PvxFGuDxCRHoXeOa2XXc010SOkEut6C2gd0ga6G56vzO7ubw==" saltValue="HzkzmyORqkXN9Xps+FK5zw==" spinCount="100000" sheet="1" objects="1" scenarios="1"/>
  <phoneticPr fontId="1" type="noConversion"/>
  <conditionalFormatting sqref="H144">
    <cfRule type="cellIs" dxfId="2" priority="1" stopIfTrue="1" operator="equal">
      <formula>$I$141</formula>
    </cfRule>
    <cfRule type="cellIs" dxfId="1" priority="2" stopIfTrue="1" operator="equal">
      <formula>$I$142</formula>
    </cfRule>
    <cfRule type="cellIs" dxfId="0" priority="3" stopIfTrue="1" operator="equal">
      <formula>$I$143</formula>
    </cfRule>
  </conditionalFormatting>
  <hyperlinks>
    <hyperlink ref="D161" r:id="rId1" xr:uid="{00000000-0004-0000-0000-000000000000}"/>
    <hyperlink ref="D163" r:id="rId2" xr:uid="{1F2D4D14-82E5-49B9-A5E7-1F19AAD9023D}"/>
  </hyperlinks>
  <pageMargins left="0.75" right="0.75" top="1" bottom="1" header="0.5" footer="0.5"/>
  <pageSetup scale="66" orientation="portrait" r:id="rId3"/>
  <headerFooter alignWithMargins="0">
    <oddHeader xml:space="preserve">&amp;L                                                                        </oddHeader>
    <oddFooter>&amp;CPage -&amp;P-&amp;R</oddFooter>
  </headerFooter>
  <rowBreaks count="3" manualBreakCount="3">
    <brk id="57" max="22" man="1"/>
    <brk id="103" max="16383" man="1"/>
    <brk id="163" max="22" man="1"/>
  </rowBreaks>
  <colBreaks count="1" manualBreakCount="1">
    <brk id="8" min="1" max="162" man="1"/>
  </colBreaks>
  <drawing r:id="rId4"/>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aaca7cfefa3a00f57e9f32d290730bc9">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d5eb50a0df51c90da3c29e772ac3ef45"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CA71CD34-0170-4AAA-B628-36FF36B2BDEE}"/>
</file>

<file path=customXml/itemProps2.xml><?xml version="1.0" encoding="utf-8"?>
<ds:datastoreItem xmlns:ds="http://schemas.openxmlformats.org/officeDocument/2006/customXml" ds:itemID="{02F7B01B-2FA7-4661-BE2E-5AB61A51D63A}"/>
</file>

<file path=customXml/itemProps3.xml><?xml version="1.0" encoding="utf-8"?>
<ds:datastoreItem xmlns:ds="http://schemas.openxmlformats.org/officeDocument/2006/customXml" ds:itemID="{C01D95A3-526F-42DC-B03E-AB59B4C88FD2}"/>
</file>

<file path=customXml/itemProps4.xml><?xml version="1.0" encoding="utf-8"?>
<ds:datastoreItem xmlns:ds="http://schemas.openxmlformats.org/officeDocument/2006/customXml" ds:itemID="{F1A4D6B4-B1AE-413D-BC67-7949DF03E9AD}"/>
</file>

<file path=docMetadata/LabelInfo.xml><?xml version="1.0" encoding="utf-8"?>
<clbl:labelList xmlns:clbl="http://schemas.microsoft.com/office/2020/mipLabelMetadata">
  <clbl:label id="{034a106e-6316-442c-ad35-738afd673d2b}" enabled="1" method="Privilege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FARROW</vt:lpstr>
      <vt:lpstr>FARROW!Print_Area</vt:lpstr>
    </vt:vector>
  </TitlesOfParts>
  <Manager>John Anderson</Manager>
  <Company>Ontario Ministry of Agriculture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Farrow-to-feeder Enterprise Budget</dc:title>
  <dc:subject>BEAR2000 Budget File</dc:subject>
  <dc:creator>john.molenhuis@ontario.ca</dc:creator>
  <cp:lastModifiedBy>Molenhuis, John (OMAFA)</cp:lastModifiedBy>
  <dcterms:created xsi:type="dcterms:W3CDTF">1998-09-13T17:28:45Z</dcterms:created>
  <dcterms:modified xsi:type="dcterms:W3CDTF">2024-08-14T13:58:07Z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john.molenhuis@ontario.ca</vt:lpwstr>
  </property>
  <property fmtid="{D5CDD505-2E9C-101B-9397-08002B2CF9AE}" pid="5" name="MSIP_Label_034a106e-6316-442c-ad35-738afd673d2b_SetDate">
    <vt:lpwstr>2020-06-03T20:24:35.9114365Z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34594c6e-5212-4fbf-aa1e-d3490f8018d8</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y fmtid="{D5CDD505-2E9C-101B-9397-08002B2CF9AE}" pid="11" name="ContentTypeId">
    <vt:lpwstr>0x01010043842F08D5C4194AB3AA6AD98986A4CA</vt:lpwstr>
  </property>
</Properties>
</file>