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2390" windowHeight="8775" activeTab="0"/>
  </bookViews>
  <sheets>
    <sheet name="Menu" sheetId="1" r:id="rId1"/>
    <sheet name="Landlord Costs" sheetId="2" r:id="rId2"/>
    <sheet name="Tenant Costs" sheetId="3" r:id="rId3"/>
    <sheet name="Flexible Cash - Base" sheetId="4" r:id="rId4"/>
    <sheet name="Flexible Cash -%" sheetId="5" r:id="rId5"/>
    <sheet name="Variable Rent Chart" sheetId="6" r:id="rId6"/>
    <sheet name="Crop Share Cal." sheetId="7" r:id="rId7"/>
    <sheet name="Pasture" sheetId="8" r:id="rId8"/>
  </sheets>
  <definedNames>
    <definedName name="_xlnm.Print_Area" localSheetId="3">'Flexible Cash - Base'!$B$3:$N$47</definedName>
    <definedName name="_xlnm.Print_Area" localSheetId="4">'Flexible Cash -%'!$B$2:$J$31</definedName>
    <definedName name="_xlnm.Print_Area" localSheetId="7">'Pasture'!$B$2:$H$65</definedName>
    <definedName name="_xlnm.Print_Area" localSheetId="2">'Tenant Costs'!$B$3:$F$53</definedName>
  </definedNames>
  <calcPr fullCalcOnLoad="1"/>
</workbook>
</file>

<file path=xl/sharedStrings.xml><?xml version="1.0" encoding="utf-8"?>
<sst xmlns="http://schemas.openxmlformats.org/spreadsheetml/2006/main" count="406" uniqueCount="291">
  <si>
    <t>Cash Expenses:</t>
  </si>
  <si>
    <t>Landlord</t>
  </si>
  <si>
    <t>Tenant</t>
  </si>
  <si>
    <t>Net Cash</t>
  </si>
  <si>
    <t>Cash Expenses include inputs, machinery operation at custom rates, drying, crop insurance.</t>
  </si>
  <si>
    <t>Net cash is tenants return after cash expenses.</t>
  </si>
  <si>
    <t>Cash Rent Return is return after cash expenses.</t>
  </si>
  <si>
    <t>per acre</t>
  </si>
  <si>
    <t>per Bu.</t>
  </si>
  <si>
    <t>LandLord Ownership Costs Worksheet</t>
  </si>
  <si>
    <t>Total Per-Acre Value</t>
  </si>
  <si>
    <t>Rate or Life</t>
  </si>
  <si>
    <t>Per-acre Annual Charge</t>
  </si>
  <si>
    <t>Value per Acre of Land</t>
  </si>
  <si>
    <t xml:space="preserve">           Interest</t>
  </si>
  <si>
    <t>x</t>
  </si>
  <si>
    <t xml:space="preserve">           Property Tax</t>
  </si>
  <si>
    <t>Value of Land Improvements</t>
  </si>
  <si>
    <t>Equipment Associated with land</t>
  </si>
  <si>
    <t xml:space="preserve">           Depreciation</t>
  </si>
  <si>
    <t>/</t>
  </si>
  <si>
    <t xml:space="preserve">           Repairs</t>
  </si>
  <si>
    <t xml:space="preserve">           Insurance</t>
  </si>
  <si>
    <t>Buildings</t>
  </si>
  <si>
    <t>Other Items</t>
  </si>
  <si>
    <t xml:space="preserve">           Fences</t>
  </si>
  <si>
    <t xml:space="preserve">           Water System</t>
  </si>
  <si>
    <t>Total Desired Return</t>
  </si>
  <si>
    <t>Attention Landlords!</t>
  </si>
  <si>
    <t>Landlords will seldom receive enough cash rent to cover total ownership costs. Consequently, this</t>
  </si>
  <si>
    <t>the “asking price” in cash-rent negotiations.</t>
  </si>
  <si>
    <t>Corn</t>
  </si>
  <si>
    <t>Soybeans</t>
  </si>
  <si>
    <t>Wheat</t>
  </si>
  <si>
    <t>A</t>
  </si>
  <si>
    <t>B</t>
  </si>
  <si>
    <t>Total Fixed Costs</t>
  </si>
  <si>
    <t>Machinery Value</t>
  </si>
  <si>
    <t>C</t>
  </si>
  <si>
    <t>D</t>
  </si>
  <si>
    <t>Labour Charge</t>
  </si>
  <si>
    <t>hrs/ac  @</t>
  </si>
  <si>
    <t>E</t>
  </si>
  <si>
    <t>Management Charge</t>
  </si>
  <si>
    <t>F</t>
  </si>
  <si>
    <t>Developed by Rob Gamble</t>
  </si>
  <si>
    <t>Finance and Business Structures Program Lead</t>
  </si>
  <si>
    <t>OMAFRA, Guelph</t>
  </si>
  <si>
    <t>Welcome to the Land Leasing Tools Menu Page</t>
  </si>
  <si>
    <t>Number of Acres</t>
  </si>
  <si>
    <t xml:space="preserve">Seed </t>
  </si>
  <si>
    <t>Fertilizer</t>
  </si>
  <si>
    <t xml:space="preserve">Herbicide </t>
  </si>
  <si>
    <t>Drying</t>
  </si>
  <si>
    <t>Crop Insurance</t>
  </si>
  <si>
    <t>Trucking</t>
  </si>
  <si>
    <t>Storage</t>
  </si>
  <si>
    <t>Marketing Fees</t>
  </si>
  <si>
    <t>Other Expenses</t>
  </si>
  <si>
    <t>Crop 4</t>
  </si>
  <si>
    <t>Combined</t>
  </si>
  <si>
    <t>Total Variable Expenses per acre</t>
  </si>
  <si>
    <t>Price per tonne or bushel (or other unit)</t>
  </si>
  <si>
    <t>Government Payments</t>
  </si>
  <si>
    <t>Total Revenue per Acre</t>
  </si>
  <si>
    <t xml:space="preserve">Machinery  Fuel </t>
  </si>
  <si>
    <t>Machinery Repairs and Maintenance</t>
  </si>
  <si>
    <t>Operating Interest</t>
  </si>
  <si>
    <t>Fixed Costs</t>
  </si>
  <si>
    <t>Crop Revenue</t>
  </si>
  <si>
    <t>Landlord Share</t>
  </si>
  <si>
    <t>Tenant Share</t>
  </si>
  <si>
    <t>Total Value</t>
  </si>
  <si>
    <t>Total Amount</t>
  </si>
  <si>
    <t>Per Acre Charge</t>
  </si>
  <si>
    <t>Insecticide</t>
  </si>
  <si>
    <t>Custom Work</t>
  </si>
  <si>
    <t>Consulting and hired labour</t>
  </si>
  <si>
    <t xml:space="preserve">           Average Interest</t>
  </si>
  <si>
    <t>Expected Yield per acre</t>
  </si>
  <si>
    <t>Total Expected Yield</t>
  </si>
  <si>
    <t>Total Number of Acres</t>
  </si>
  <si>
    <t>Column 1</t>
  </si>
  <si>
    <t>Column 3</t>
  </si>
  <si>
    <t>Column 2</t>
  </si>
  <si>
    <t>Row</t>
  </si>
  <si>
    <t>G</t>
  </si>
  <si>
    <t>H</t>
  </si>
  <si>
    <t>I</t>
  </si>
  <si>
    <t>J</t>
  </si>
  <si>
    <t>Government Payments per Acre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</si>
  <si>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</si>
  <si>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</si>
  <si>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</si>
  <si>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</si>
  <si>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</si>
  <si>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</si>
  <si>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</si>
  <si>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</si>
  <si>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</si>
  <si>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</si>
  <si>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</si>
  <si>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Total Revenue from Each Crop  ( A x F )</t>
  </si>
  <si>
    <t>Average Revenue per Acre ( Add Col. 1, 2 &amp;3 on row G, then divide by H )</t>
  </si>
  <si>
    <t>Total Variable Expenses per acre (Add each column)</t>
  </si>
  <si>
    <t>Total Variable Expenses ( A x J )</t>
  </si>
  <si>
    <t>Average Contribution Margin ( I - M )</t>
  </si>
  <si>
    <t>Investment per Acre ( O divided by H )</t>
  </si>
  <si>
    <t>Desired Interest rate return on machinery investment</t>
  </si>
  <si>
    <t>V</t>
  </si>
  <si>
    <t xml:space="preserve">Number of Hours of Labour per acre </t>
  </si>
  <si>
    <t>Dollars per hour for labour (yours or hired)</t>
  </si>
  <si>
    <t>W</t>
  </si>
  <si>
    <t>X</t>
  </si>
  <si>
    <t>Y</t>
  </si>
  <si>
    <t>Z</t>
  </si>
  <si>
    <t>Labour and Management Costs</t>
  </si>
  <si>
    <t>AA</t>
  </si>
  <si>
    <t>Total Labour and Management Costs ( Y + AA )</t>
  </si>
  <si>
    <t>BB</t>
  </si>
  <si>
    <t>Total Production Costs (M + V + BB)</t>
  </si>
  <si>
    <t>CC</t>
  </si>
  <si>
    <t>Total Revenue per Acre - Add ( D + E )</t>
  </si>
  <si>
    <t>Other Fixed Costs per acre</t>
  </si>
  <si>
    <t>Operators Management Charge (suggested 5.0 to 8.0% )</t>
  </si>
  <si>
    <t>Contribution Margin (Gross Margin) per acre ( F - J)</t>
  </si>
  <si>
    <t>Total</t>
  </si>
  <si>
    <t>of total investment</t>
  </si>
  <si>
    <t xml:space="preserve">Other Expenses ( Land Improvements) </t>
  </si>
  <si>
    <t>Percent Crop Share</t>
  </si>
  <si>
    <t>Shared</t>
  </si>
  <si>
    <t>Number of hours per acre</t>
  </si>
  <si>
    <t>Value of Land Improvements per acre</t>
  </si>
  <si>
    <t>Value of Land (bare land excluding personal portion)</t>
  </si>
  <si>
    <t>Fences</t>
  </si>
  <si>
    <t>Other</t>
  </si>
  <si>
    <t>Handling Facilities</t>
  </si>
  <si>
    <t>Animal investment</t>
  </si>
  <si>
    <t>Livestock costs (as percentage of animal investment)</t>
  </si>
  <si>
    <t>Death loss</t>
  </si>
  <si>
    <t>Total Livestock Costs</t>
  </si>
  <si>
    <t>Breeding livestock costs</t>
  </si>
  <si>
    <t>Labor and management</t>
  </si>
  <si>
    <t>hrs</t>
  </si>
  <si>
    <t>per hd</t>
  </si>
  <si>
    <t>Management (% of value of animal )</t>
  </si>
  <si>
    <t>Total labour and management</t>
  </si>
  <si>
    <t>TOTAL ANIMAL COSTS PER HEAD</t>
  </si>
  <si>
    <t>Total Pasture Ownership Cost</t>
  </si>
  <si>
    <t>Total Per Animal Costs</t>
  </si>
  <si>
    <t>Marketing, trucking</t>
  </si>
  <si>
    <t>Livestock Owners cost per head (line E of worksheet 2)</t>
  </si>
  <si>
    <t xml:space="preserve">Revenue per annimal (line G of worksheet 2) </t>
  </si>
  <si>
    <t>Minus purchase price ( line A of worksheet 2)</t>
  </si>
  <si>
    <t xml:space="preserve">Landlords share ( Line A x line C ) </t>
  </si>
  <si>
    <t xml:space="preserve">Livestock Owners share ( Line B x line C ) </t>
  </si>
  <si>
    <t>Average Interest (interest required for only 1/2 year)</t>
  </si>
  <si>
    <t>Veterinary, insurance, &amp; misc.</t>
  </si>
  <si>
    <t>Property Tax Per Year (use actual if available)</t>
  </si>
  <si>
    <t xml:space="preserve">           Average Interest (use 1/2 rate to obtain the average)</t>
  </si>
  <si>
    <t>Base Rent</t>
  </si>
  <si>
    <t>Yield adjustment per bu.</t>
  </si>
  <si>
    <t>Price adjustment</t>
  </si>
  <si>
    <t xml:space="preserve">per </t>
  </si>
  <si>
    <t>Base Rent with an Adjustment for Price and Yield (Gross Value)</t>
  </si>
  <si>
    <t>Base Price</t>
  </si>
  <si>
    <t>Base Gross</t>
  </si>
  <si>
    <t>Base Yield (bu)</t>
  </si>
  <si>
    <t>per</t>
  </si>
  <si>
    <t>Acre</t>
  </si>
  <si>
    <t xml:space="preserve">Base Price </t>
  </si>
  <si>
    <t xml:space="preserve">Adjustment of </t>
  </si>
  <si>
    <t>Adjust for every</t>
  </si>
  <si>
    <t>change in gross</t>
  </si>
  <si>
    <t>Base Rent with an Adjustment for the Price</t>
  </si>
  <si>
    <t>Base Rent with an Adjustment for theYield</t>
  </si>
  <si>
    <t>Gross Revenue</t>
  </si>
  <si>
    <t>Tenants Position - Net After Rent</t>
  </si>
  <si>
    <t>Tenants Position - Percentage of Gross Income from Crop</t>
  </si>
  <si>
    <t>Above the base line yield of:</t>
  </si>
  <si>
    <t>bu.</t>
  </si>
  <si>
    <t>Scenario</t>
  </si>
  <si>
    <t>Bushels per acre</t>
  </si>
  <si>
    <t>Price /bu</t>
  </si>
  <si>
    <t>Scenario A - Adjust for Price</t>
  </si>
  <si>
    <t>Scenario B - Adjust for Yield Only</t>
  </si>
  <si>
    <t>Scenario C - Adjust for Both Price and Yield</t>
  </si>
  <si>
    <t>Depreciation</t>
  </si>
  <si>
    <t>Average Interest</t>
  </si>
  <si>
    <t>Gross Crop Revenue</t>
  </si>
  <si>
    <t>Detailed Crop Expenses</t>
  </si>
  <si>
    <t>Value of Tenant Equipment and Total Acres Cropped</t>
  </si>
  <si>
    <t>Investment per Acre Allocated to this Crop</t>
  </si>
  <si>
    <t>Labour Charge (hours per acre x rate per acre)</t>
  </si>
  <si>
    <t>Cash Rental</t>
  </si>
  <si>
    <t>Crop Revenue per Acre</t>
  </si>
  <si>
    <t>Net Income Per Acre</t>
  </si>
  <si>
    <t>Crop Share</t>
  </si>
  <si>
    <t>Net Income</t>
  </si>
  <si>
    <t xml:space="preserve">Section D - Tenant or Landlord Net Income or Crop Share Percentage </t>
  </si>
  <si>
    <t>Labour and Management</t>
  </si>
  <si>
    <t>Tenants Net Income after Landlords Required</t>
  </si>
  <si>
    <t>Weighted Average</t>
  </si>
  <si>
    <t xml:space="preserve">Value of Land Improvements/acre &amp; the Life Span </t>
  </si>
  <si>
    <t>Rate (%) or Life (Yrs)</t>
  </si>
  <si>
    <t xml:space="preserve">Value of Land (exclude personal) &amp; Investment Interst Rate </t>
  </si>
  <si>
    <t>Per Acre</t>
  </si>
  <si>
    <t>Total Variable Crop Expenses</t>
  </si>
  <si>
    <t>Revenue</t>
  </si>
  <si>
    <t>Total Crop Expenses (exclud. Section A)</t>
  </si>
  <si>
    <t>Landlords Required Income (from Section A)</t>
  </si>
  <si>
    <t>Total Expenses to be Shared</t>
  </si>
  <si>
    <t>All Costs Including all investment costs</t>
  </si>
  <si>
    <t>Percentage Share</t>
  </si>
  <si>
    <t xml:space="preserve">Value of Landlords Equipment Used </t>
  </si>
  <si>
    <t>Other Expense</t>
  </si>
  <si>
    <t>Landlord &amp; Tenants portion of shared of expenses</t>
  </si>
  <si>
    <t>Total Expenses including land and machinery investment</t>
  </si>
  <si>
    <t>Fixed Expenses</t>
  </si>
  <si>
    <t>Total Cropping Expenses (excluding investments expense)</t>
  </si>
  <si>
    <t xml:space="preserve">Section B - Tenant or Landlord Crop Revenue </t>
  </si>
  <si>
    <t>Section C - Tenant or Landlord Crop Expenses</t>
  </si>
  <si>
    <t>Section A  - Landlord Investment</t>
  </si>
  <si>
    <t>Pasture Rent Calculator</t>
  </si>
  <si>
    <t xml:space="preserve">Crop Price </t>
  </si>
  <si>
    <t>The above chart compares the return of variable share to a cash rent per acre</t>
  </si>
  <si>
    <t>Cash Rent Comparison</t>
  </si>
  <si>
    <t>Number of Bushels</t>
  </si>
  <si>
    <t>% of Crop</t>
  </si>
  <si>
    <t>Revenue from Crop</t>
  </si>
  <si>
    <t>Base Percentage of Crop</t>
  </si>
  <si>
    <t>Tenants Net Income if Cash Rent Used</t>
  </si>
  <si>
    <t>Base Yield per Acre</t>
  </si>
  <si>
    <t>bu. per acre</t>
  </si>
  <si>
    <t>Yield   bushels per acre</t>
  </si>
  <si>
    <t>Amount Available to Cover Rent Payments   ( I - CC)</t>
  </si>
  <si>
    <t xml:space="preserve">Tenant Crop Budget Calculator </t>
  </si>
  <si>
    <t>Variable Expenses for Crops (Reference OMAFRA Crop Budgets)</t>
  </si>
  <si>
    <t>Share Crop Calculator</t>
  </si>
  <si>
    <t>Flexible Cash Rent Calculator - Base Rent Method</t>
  </si>
  <si>
    <t>Flexible Cash Rent Calculator - Percentage of Crop Method</t>
  </si>
  <si>
    <t>email: rob.gamble@omafra.gov.on.ca</t>
  </si>
  <si>
    <t>Total Desired Return per acre</t>
  </si>
  <si>
    <t xml:space="preserve"> </t>
  </si>
  <si>
    <t>Land Value Per Acre</t>
  </si>
  <si>
    <t>Other Investments (Current Value)</t>
  </si>
  <si>
    <t xml:space="preserve">           Depreciation - number of years of remaining life</t>
  </si>
  <si>
    <t>Average Return on Investment from land</t>
  </si>
  <si>
    <t>Labour - number of hours per head</t>
  </si>
  <si>
    <t>Value of Labour per hour</t>
  </si>
  <si>
    <t xml:space="preserve">Total Pasture Cost </t>
  </si>
  <si>
    <t>into</t>
  </si>
  <si>
    <t>Revenue from Sale</t>
  </si>
  <si>
    <t>Sale price per pound</t>
  </si>
  <si>
    <t>Weight of Animal (lbs)</t>
  </si>
  <si>
    <t>Net returns per head (line G - line F)</t>
  </si>
  <si>
    <t>Calulating a  Pasture Share Price</t>
  </si>
  <si>
    <t>Maximun You Can You Afford to Pay for Rent per Acre (line H x line I)</t>
  </si>
  <si>
    <t>Total Costs per Head</t>
  </si>
  <si>
    <t>Animal purchase weight (lbs)</t>
  </si>
  <si>
    <t>Purchase Price per pound</t>
  </si>
  <si>
    <t>Purchase Price per Animal</t>
  </si>
  <si>
    <t>Landlord Cost per head (line F of worksheet 1)</t>
  </si>
  <si>
    <t>Landlord's Percentage of Costs</t>
  </si>
  <si>
    <t>Livestock Owners Percentage of Costs</t>
  </si>
  <si>
    <t xml:space="preserve">Division of Net Return Based on the Percentage of Costs </t>
  </si>
  <si>
    <t>Net Returns</t>
  </si>
  <si>
    <t xml:space="preserve">Pasture Ownership Cost on a per Head Basis ( Line D x Line E) </t>
  </si>
  <si>
    <t>LandLord Pasture Ownership Costs - Worksheet 1</t>
  </si>
  <si>
    <t>Livestock Owner’s Net Return - Worksheet 2</t>
  </si>
  <si>
    <t>Management -  % of Capital Managed</t>
  </si>
  <si>
    <t xml:space="preserve">Cost Per Acre </t>
  </si>
  <si>
    <t>Stocking rate - Acres Required for 1 Head</t>
  </si>
  <si>
    <r>
      <t xml:space="preserve">The </t>
    </r>
    <r>
      <rPr>
        <b/>
        <sz val="12"/>
        <rFont val="Times New Roman"/>
        <family val="1"/>
      </rPr>
      <t>Land Leasing Tools</t>
    </r>
    <r>
      <rPr>
        <sz val="12"/>
        <rFont val="Times New Roman"/>
        <family val="1"/>
      </rPr>
      <t xml:space="preserve"> are a set of worksheets that allow you to examine various types of leasing arrangements. </t>
    </r>
  </si>
  <si>
    <r>
      <t xml:space="preserve">Landlords and tenants can look at their costs and determine if the leasing arrangement is suitable for them.  The </t>
    </r>
    <r>
      <rPr>
        <b/>
        <sz val="12"/>
        <rFont val="Times New Roman"/>
        <family val="1"/>
      </rPr>
      <t>Crop Share</t>
    </r>
  </si>
  <si>
    <r>
      <t>Calculator</t>
    </r>
    <r>
      <rPr>
        <sz val="12"/>
        <rFont val="Times New Roman"/>
        <family val="1"/>
      </rPr>
      <t xml:space="preserve"> calculates the appropriate crop share split for a landlord and tenant and analyses the projected net incomes.</t>
    </r>
  </si>
  <si>
    <r>
      <t xml:space="preserve">           Depreciation </t>
    </r>
    <r>
      <rPr>
        <sz val="12"/>
        <rFont val="Arial"/>
        <family val="2"/>
      </rPr>
      <t>(value / #of yrs)</t>
    </r>
  </si>
  <si>
    <r>
      <t xml:space="preserve">method may result in an </t>
    </r>
    <r>
      <rPr>
        <b/>
        <sz val="12"/>
        <color indexed="10"/>
        <rFont val="Arial"/>
        <family val="2"/>
      </rPr>
      <t>extremely high value</t>
    </r>
    <r>
      <rPr>
        <b/>
        <sz val="12"/>
        <rFont val="Arial"/>
        <family val="2"/>
      </rPr>
      <t>; but the method does give the landlord a basis for setting</t>
    </r>
  </si>
  <si>
    <r>
      <t xml:space="preserve">Labour expense per acre </t>
    </r>
    <r>
      <rPr>
        <b/>
        <sz val="12"/>
        <rFont val="Arial"/>
        <family val="2"/>
      </rPr>
      <t xml:space="preserve"> ( W x X )</t>
    </r>
  </si>
  <si>
    <r>
      <t xml:space="preserve">Management Expense  </t>
    </r>
    <r>
      <rPr>
        <b/>
        <sz val="12"/>
        <rFont val="Arial"/>
        <family val="2"/>
      </rPr>
      <t>( I x Z )</t>
    </r>
  </si>
  <si>
    <r>
      <t xml:space="preserve">Interest on average investment </t>
    </r>
    <r>
      <rPr>
        <b/>
        <sz val="12"/>
        <rFont val="Arial"/>
        <family val="2"/>
      </rPr>
      <t>(P divided by 2) x Q</t>
    </r>
  </si>
  <si>
    <r>
      <t xml:space="preserve">Depreciation </t>
    </r>
    <r>
      <rPr>
        <b/>
        <sz val="12"/>
        <rFont val="Arial"/>
        <family val="2"/>
      </rPr>
      <t xml:space="preserve"> ( P x .10 )</t>
    </r>
  </si>
  <si>
    <r>
      <t xml:space="preserve">Insurance </t>
    </r>
    <r>
      <rPr>
        <b/>
        <sz val="12"/>
        <rFont val="Arial"/>
        <family val="2"/>
      </rPr>
      <t>( P x .0025 )</t>
    </r>
    <r>
      <rPr>
        <sz val="12"/>
        <rFont val="Arial"/>
        <family val="2"/>
      </rPr>
      <t xml:space="preserve"> </t>
    </r>
  </si>
  <si>
    <r>
      <t xml:space="preserve">Total Fixed Costs per acre </t>
    </r>
    <r>
      <rPr>
        <b/>
        <sz val="12"/>
        <rFont val="Arial"/>
        <family val="2"/>
      </rPr>
      <t>( Add R + S + T + U )</t>
    </r>
  </si>
  <si>
    <t>Average Variable cost per acre ( Add Col. 1, 2 &amp; 3 on Row L, then divide by H, total number of acres )</t>
  </si>
  <si>
    <r>
      <t xml:space="preserve">Crop Revenue Per Acre  </t>
    </r>
    <r>
      <rPr>
        <b/>
        <sz val="12"/>
        <rFont val="Arial"/>
        <family val="2"/>
      </rPr>
      <t>( B x C )</t>
    </r>
  </si>
  <si>
    <t>Cash Expenses for Crop (excludes investment and depreciation)</t>
  </si>
  <si>
    <r>
      <t xml:space="preserve">Cash Income from Crop Share </t>
    </r>
    <r>
      <rPr>
        <sz val="12"/>
        <rFont val="Arial"/>
        <family val="2"/>
      </rPr>
      <t>(after shared expenses)</t>
    </r>
  </si>
  <si>
    <r>
      <t xml:space="preserve">Net Income </t>
    </r>
    <r>
      <rPr>
        <sz val="12"/>
        <rFont val="Arial"/>
        <family val="2"/>
      </rPr>
      <t>(after all expenses include invest.costs)</t>
    </r>
  </si>
  <si>
    <t>Property Tax Per Year (optional Calculation using % of investment)</t>
  </si>
  <si>
    <t>This is a farm business decision calculator that has 8 worksheets. There are fields that can be completed by the user. It is up to 14 columns wide and 74 rows.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</si>
</sst>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&quot;$&quot;#,##0"/>
    <numFmt numFmtId="168" formatCode="_(* #,##0_);_(* \(#,##0\);_(* &quot;-&quot;??_);_(@_)"/>
    <numFmt numFmtId="169" formatCode="0.0%"/>
    <numFmt numFmtId="170" formatCode="_(&quot;$&quot;* #,##0_);_(&quot;$&quot;* \(#,##0\);_(&quot;$&quot;* &quot;-&quot;??_);_(@_)"/>
    <numFmt numFmtId="171" formatCode="mmmm\ d\,\ yyyy"/>
    <numFmt numFmtId="172" formatCode="_-* #,##0.0_-;\-* #,##0.0_-;_-* &quot;-&quot;??_-;_-@_-"/>
    <numFmt numFmtId="173" formatCode="_-* #,##0_-;\-* #,##0_-;_-* &quot;-&quot;??_-;_-@_-"/>
    <numFmt numFmtId="174" formatCode="_-&quot;$&quot;* #,##0_-;\-&quot;$&quot;* #,##0_-;_-&quot;$&quot;* &quot;-&quot;??_-;_-@_-"/>
    <numFmt numFmtId="175" formatCode="_(* #,##0.0_);_(* \(#,##0.0\);_(* &quot;-&quot;??_);_(@_)"/>
    <numFmt numFmtId="176" formatCode="\$#,##0"/>
  </numFmts>
  <fonts count="76">
    <font>
      <sz val="12"/>
      <name val="CG Times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9"/>
      <name val="CG Times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color indexed="9"/>
      <name val="CG Times"/>
      <family val="1"/>
    </font>
    <font>
      <b/>
      <sz val="12"/>
      <name val="CG Times"/>
      <family val="1"/>
    </font>
    <font>
      <sz val="10"/>
      <name val="CG Times"/>
      <family val="1"/>
    </font>
    <font>
      <sz val="12"/>
      <name val="Times New Roman"/>
      <family val="1"/>
    </font>
    <font>
      <sz val="18"/>
      <color indexed="9"/>
      <name val="Arial"/>
      <family val="2"/>
    </font>
    <font>
      <sz val="20"/>
      <color indexed="9"/>
      <name val="Arial"/>
      <family val="2"/>
    </font>
    <font>
      <sz val="22"/>
      <color indexed="9"/>
      <name val="CG Times"/>
      <family val="1"/>
    </font>
    <font>
      <sz val="12"/>
      <color indexed="43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20"/>
      <color indexed="43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G Times"/>
      <family val="1"/>
    </font>
    <font>
      <b/>
      <sz val="14"/>
      <color indexed="8"/>
      <name val="CG Times"/>
      <family val="1"/>
    </font>
    <font>
      <b/>
      <sz val="12"/>
      <color indexed="8"/>
      <name val="CG Times"/>
      <family val="1"/>
    </font>
    <font>
      <b/>
      <sz val="16"/>
      <color indexed="8"/>
      <name val="CG Times"/>
      <family val="1"/>
    </font>
    <font>
      <sz val="11"/>
      <color indexed="8"/>
      <name val="CG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4" fontId="4" fillId="0" borderId="0" xfId="44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169" fontId="5" fillId="0" borderId="0" xfId="58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8" fillId="33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165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4" fillId="33" borderId="0" xfId="0" applyFont="1" applyFill="1" applyAlignment="1">
      <alignment wrapText="1"/>
    </xf>
    <xf numFmtId="0" fontId="14" fillId="33" borderId="0" xfId="0" applyFont="1" applyFill="1" applyBorder="1" applyAlignment="1">
      <alignment/>
    </xf>
    <xf numFmtId="44" fontId="14" fillId="33" borderId="0" xfId="44" applyFont="1" applyFill="1" applyBorder="1" applyAlignment="1">
      <alignment/>
    </xf>
    <xf numFmtId="165" fontId="14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vertical="top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>
      <alignment/>
    </xf>
    <xf numFmtId="3" fontId="3" fillId="0" borderId="0" xfId="0" applyNumberFormat="1" applyFont="1" applyAlignment="1">
      <alignment/>
    </xf>
    <xf numFmtId="0" fontId="8" fillId="33" borderId="14" xfId="0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17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8" fillId="35" borderId="15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7" xfId="0" applyFont="1" applyFill="1" applyBorder="1" applyAlignment="1">
      <alignment/>
    </xf>
    <xf numFmtId="0" fontId="18" fillId="35" borderId="18" xfId="0" applyFont="1" applyFill="1" applyBorder="1" applyAlignment="1">
      <alignment/>
    </xf>
    <xf numFmtId="0" fontId="18" fillId="0" borderId="14" xfId="0" applyFont="1" applyBorder="1" applyAlignment="1">
      <alignment horizontal="center"/>
    </xf>
    <xf numFmtId="0" fontId="19" fillId="0" borderId="0" xfId="0" applyFont="1" applyAlignment="1">
      <alignment/>
    </xf>
    <xf numFmtId="43" fontId="4" fillId="0" borderId="0" xfId="42" applyFont="1" applyFill="1" applyBorder="1" applyAlignment="1">
      <alignment/>
    </xf>
    <xf numFmtId="43" fontId="4" fillId="0" borderId="0" xfId="42" applyFont="1" applyAlignment="1">
      <alignment/>
    </xf>
    <xf numFmtId="44" fontId="4" fillId="0" borderId="0" xfId="44" applyFont="1" applyFill="1" applyBorder="1" applyAlignment="1">
      <alignment vertical="top" wrapText="1"/>
    </xf>
    <xf numFmtId="43" fontId="4" fillId="0" borderId="0" xfId="42" applyFont="1" applyFill="1" applyAlignment="1">
      <alignment/>
    </xf>
    <xf numFmtId="0" fontId="13" fillId="33" borderId="14" xfId="0" applyFont="1" applyFill="1" applyBorder="1" applyAlignment="1">
      <alignment/>
    </xf>
    <xf numFmtId="0" fontId="20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0" fontId="13" fillId="33" borderId="13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3" fillId="33" borderId="20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0" fontId="14" fillId="33" borderId="23" xfId="0" applyFont="1" applyFill="1" applyBorder="1" applyAlignment="1">
      <alignment wrapText="1"/>
    </xf>
    <xf numFmtId="165" fontId="4" fillId="0" borderId="0" xfId="0" applyNumberFormat="1" applyFont="1" applyBorder="1" applyAlignment="1">
      <alignment/>
    </xf>
    <xf numFmtId="44" fontId="4" fillId="0" borderId="23" xfId="44" applyFont="1" applyFill="1" applyBorder="1" applyAlignment="1">
      <alignment/>
    </xf>
    <xf numFmtId="0" fontId="7" fillId="34" borderId="22" xfId="0" applyFont="1" applyFill="1" applyBorder="1" applyAlignment="1">
      <alignment horizontal="left"/>
    </xf>
    <xf numFmtId="0" fontId="22" fillId="33" borderId="19" xfId="0" applyFont="1" applyFill="1" applyBorder="1" applyAlignment="1">
      <alignment/>
    </xf>
    <xf numFmtId="0" fontId="23" fillId="33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24" fillId="33" borderId="0" xfId="0" applyFont="1" applyFill="1" applyAlignment="1">
      <alignment/>
    </xf>
    <xf numFmtId="0" fontId="18" fillId="0" borderId="14" xfId="0" applyFont="1" applyBorder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 horizontal="left"/>
    </xf>
    <xf numFmtId="0" fontId="27" fillId="33" borderId="0" xfId="0" applyFont="1" applyFill="1" applyAlignment="1" quotePrefix="1">
      <alignment horizontal="left"/>
    </xf>
    <xf numFmtId="0" fontId="7" fillId="34" borderId="14" xfId="0" applyFont="1" applyFill="1" applyBorder="1" applyAlignment="1">
      <alignment vertical="top" wrapText="1"/>
    </xf>
    <xf numFmtId="0" fontId="28" fillId="34" borderId="16" xfId="0" applyFont="1" applyFill="1" applyBorder="1" applyAlignment="1">
      <alignment/>
    </xf>
    <xf numFmtId="0" fontId="25" fillId="0" borderId="0" xfId="0" applyFont="1" applyAlignment="1">
      <alignment/>
    </xf>
    <xf numFmtId="0" fontId="25" fillId="34" borderId="14" xfId="0" applyFont="1" applyFill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7" fillId="0" borderId="14" xfId="0" applyFont="1" applyBorder="1" applyAlignment="1">
      <alignment/>
    </xf>
    <xf numFmtId="168" fontId="28" fillId="34" borderId="14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69" fontId="28" fillId="0" borderId="14" xfId="58" applyNumberFormat="1" applyFont="1" applyBorder="1" applyAlignment="1">
      <alignment/>
    </xf>
    <xf numFmtId="44" fontId="7" fillId="0" borderId="14" xfId="44" applyFont="1" applyBorder="1" applyAlignment="1">
      <alignment/>
    </xf>
    <xf numFmtId="0" fontId="28" fillId="34" borderId="14" xfId="0" applyFont="1" applyFill="1" applyBorder="1" applyAlignment="1">
      <alignment/>
    </xf>
    <xf numFmtId="0" fontId="7" fillId="0" borderId="14" xfId="0" applyFont="1" applyBorder="1" applyAlignment="1">
      <alignment horizontal="left"/>
    </xf>
    <xf numFmtId="10" fontId="28" fillId="0" borderId="14" xfId="58" applyNumberFormat="1" applyFont="1" applyBorder="1" applyAlignment="1">
      <alignment/>
    </xf>
    <xf numFmtId="0" fontId="28" fillId="0" borderId="14" xfId="0" applyFont="1" applyFill="1" applyBorder="1" applyAlignment="1">
      <alignment/>
    </xf>
    <xf numFmtId="0" fontId="7" fillId="34" borderId="14" xfId="0" applyFont="1" applyFill="1" applyBorder="1" applyAlignment="1">
      <alignment horizontal="left"/>
    </xf>
    <xf numFmtId="0" fontId="7" fillId="34" borderId="14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164" fontId="7" fillId="34" borderId="14" xfId="0" applyNumberFormat="1" applyFont="1" applyFill="1" applyBorder="1" applyAlignment="1">
      <alignment/>
    </xf>
    <xf numFmtId="0" fontId="7" fillId="34" borderId="19" xfId="0" applyFont="1" applyFill="1" applyBorder="1" applyAlignment="1">
      <alignment horizontal="left"/>
    </xf>
    <xf numFmtId="0" fontId="25" fillId="34" borderId="14" xfId="0" applyFont="1" applyFill="1" applyBorder="1" applyAlignment="1">
      <alignment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vertical="center"/>
    </xf>
    <xf numFmtId="0" fontId="30" fillId="33" borderId="14" xfId="0" applyFont="1" applyFill="1" applyBorder="1" applyAlignment="1">
      <alignment/>
    </xf>
    <xf numFmtId="0" fontId="30" fillId="33" borderId="19" xfId="0" applyFont="1" applyFill="1" applyBorder="1" applyAlignment="1">
      <alignment vertical="top" wrapText="1"/>
    </xf>
    <xf numFmtId="44" fontId="11" fillId="34" borderId="24" xfId="44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20" fillId="0" borderId="14" xfId="0" applyFont="1" applyBorder="1" applyAlignment="1">
      <alignment/>
    </xf>
    <xf numFmtId="0" fontId="7" fillId="0" borderId="16" xfId="0" applyFont="1" applyBorder="1" applyAlignment="1">
      <alignment horizontal="center"/>
    </xf>
    <xf numFmtId="43" fontId="31" fillId="0" borderId="14" xfId="42" applyFont="1" applyFill="1" applyBorder="1" applyAlignment="1">
      <alignment/>
    </xf>
    <xf numFmtId="44" fontId="28" fillId="0" borderId="19" xfId="44" applyFont="1" applyFill="1" applyBorder="1" applyAlignment="1">
      <alignment/>
    </xf>
    <xf numFmtId="165" fontId="25" fillId="34" borderId="14" xfId="0" applyNumberFormat="1" applyFont="1" applyFill="1" applyBorder="1" applyAlignment="1">
      <alignment/>
    </xf>
    <xf numFmtId="169" fontId="31" fillId="0" borderId="14" xfId="58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43" fontId="25" fillId="34" borderId="25" xfId="42" applyFont="1" applyFill="1" applyBorder="1" applyAlignment="1">
      <alignment/>
    </xf>
    <xf numFmtId="0" fontId="25" fillId="0" borderId="21" xfId="0" applyFont="1" applyFill="1" applyBorder="1" applyAlignment="1">
      <alignment/>
    </xf>
    <xf numFmtId="43" fontId="7" fillId="0" borderId="25" xfId="42" applyFont="1" applyFill="1" applyBorder="1" applyAlignment="1">
      <alignment/>
    </xf>
    <xf numFmtId="0" fontId="7" fillId="0" borderId="19" xfId="0" applyFont="1" applyFill="1" applyBorder="1" applyAlignment="1">
      <alignment/>
    </xf>
    <xf numFmtId="44" fontId="7" fillId="34" borderId="24" xfId="44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7" fillId="0" borderId="14" xfId="0" applyFont="1" applyFill="1" applyBorder="1" applyAlignment="1">
      <alignment vertical="top" wrapText="1"/>
    </xf>
    <xf numFmtId="170" fontId="25" fillId="0" borderId="14" xfId="44" applyNumberFormat="1" applyFont="1" applyFill="1" applyBorder="1" applyAlignment="1">
      <alignment/>
    </xf>
    <xf numFmtId="2" fontId="25" fillId="0" borderId="14" xfId="0" applyNumberFormat="1" applyFont="1" applyFill="1" applyBorder="1" applyAlignment="1">
      <alignment/>
    </xf>
    <xf numFmtId="9" fontId="31" fillId="0" borderId="14" xfId="58" applyFont="1" applyFill="1" applyBorder="1" applyAlignment="1">
      <alignment/>
    </xf>
    <xf numFmtId="2" fontId="25" fillId="34" borderId="14" xfId="58" applyNumberFormat="1" applyFont="1" applyFill="1" applyBorder="1" applyAlignment="1">
      <alignment/>
    </xf>
    <xf numFmtId="43" fontId="25" fillId="34" borderId="14" xfId="42" applyFont="1" applyFill="1" applyBorder="1" applyAlignment="1">
      <alignment/>
    </xf>
    <xf numFmtId="43" fontId="28" fillId="34" borderId="26" xfId="42" applyFont="1" applyFill="1" applyBorder="1" applyAlignment="1">
      <alignment/>
    </xf>
    <xf numFmtId="44" fontId="7" fillId="34" borderId="12" xfId="44" applyFont="1" applyFill="1" applyBorder="1" applyAlignment="1">
      <alignment/>
    </xf>
    <xf numFmtId="0" fontId="7" fillId="0" borderId="16" xfId="0" applyFont="1" applyFill="1" applyBorder="1" applyAlignment="1">
      <alignment/>
    </xf>
    <xf numFmtId="2" fontId="31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7" fillId="34" borderId="14" xfId="0" applyNumberFormat="1" applyFont="1" applyFill="1" applyBorder="1" applyAlignment="1">
      <alignment/>
    </xf>
    <xf numFmtId="2" fontId="7" fillId="34" borderId="14" xfId="0" applyNumberFormat="1" applyFont="1" applyFill="1" applyBorder="1" applyAlignment="1">
      <alignment horizontal="center"/>
    </xf>
    <xf numFmtId="43" fontId="7" fillId="0" borderId="14" xfId="42" applyNumberFormat="1" applyFont="1" applyFill="1" applyBorder="1" applyAlignment="1">
      <alignment/>
    </xf>
    <xf numFmtId="43" fontId="7" fillId="0" borderId="14" xfId="42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173" fontId="7" fillId="34" borderId="25" xfId="42" applyNumberFormat="1" applyFont="1" applyFill="1" applyBorder="1" applyAlignment="1">
      <alignment/>
    </xf>
    <xf numFmtId="173" fontId="7" fillId="34" borderId="14" xfId="42" applyNumberFormat="1" applyFont="1" applyFill="1" applyBorder="1" applyAlignment="1">
      <alignment/>
    </xf>
    <xf numFmtId="174" fontId="7" fillId="34" borderId="14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44" fontId="7" fillId="34" borderId="24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74" fontId="7" fillId="0" borderId="14" xfId="0" applyNumberFormat="1" applyFont="1" applyFill="1" applyBorder="1" applyAlignment="1">
      <alignment/>
    </xf>
    <xf numFmtId="174" fontId="7" fillId="0" borderId="14" xfId="0" applyNumberFormat="1" applyFont="1" applyFill="1" applyBorder="1" applyAlignment="1">
      <alignment horizontal="center"/>
    </xf>
    <xf numFmtId="44" fontId="7" fillId="0" borderId="27" xfId="0" applyNumberFormat="1" applyFont="1" applyFill="1" applyBorder="1" applyAlignment="1">
      <alignment/>
    </xf>
    <xf numFmtId="0" fontId="31" fillId="0" borderId="14" xfId="0" applyFon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44" fontId="31" fillId="0" borderId="14" xfId="44" applyFont="1" applyFill="1" applyBorder="1" applyAlignment="1">
      <alignment/>
    </xf>
    <xf numFmtId="0" fontId="7" fillId="0" borderId="14" xfId="44" applyNumberFormat="1" applyFont="1" applyFill="1" applyBorder="1" applyAlignment="1">
      <alignment horizontal="center"/>
    </xf>
    <xf numFmtId="43" fontId="7" fillId="0" borderId="14" xfId="42" applyFont="1" applyFill="1" applyBorder="1" applyAlignment="1">
      <alignment/>
    </xf>
    <xf numFmtId="0" fontId="7" fillId="0" borderId="25" xfId="0" applyFont="1" applyBorder="1" applyAlignment="1">
      <alignment/>
    </xf>
    <xf numFmtId="165" fontId="7" fillId="34" borderId="25" xfId="44" applyNumberFormat="1" applyFont="1" applyFill="1" applyBorder="1" applyAlignment="1">
      <alignment/>
    </xf>
    <xf numFmtId="0" fontId="7" fillId="34" borderId="14" xfId="44" applyNumberFormat="1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165" fontId="7" fillId="0" borderId="16" xfId="44" applyNumberFormat="1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165" fontId="7" fillId="0" borderId="14" xfId="44" applyNumberFormat="1" applyFont="1" applyFill="1" applyBorder="1" applyAlignment="1">
      <alignment horizontal="center"/>
    </xf>
    <xf numFmtId="0" fontId="22" fillId="33" borderId="21" xfId="0" applyFont="1" applyFill="1" applyBorder="1" applyAlignment="1">
      <alignment/>
    </xf>
    <xf numFmtId="0" fontId="26" fillId="35" borderId="21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174" fontId="32" fillId="35" borderId="13" xfId="44" applyNumberFormat="1" applyFont="1" applyFill="1" applyBorder="1" applyAlignment="1">
      <alignment/>
    </xf>
    <xf numFmtId="0" fontId="20" fillId="35" borderId="20" xfId="0" applyFont="1" applyFill="1" applyBorder="1" applyAlignment="1">
      <alignment/>
    </xf>
    <xf numFmtId="0" fontId="20" fillId="0" borderId="23" xfId="0" applyFont="1" applyBorder="1" applyAlignment="1">
      <alignment/>
    </xf>
    <xf numFmtId="0" fontId="20" fillId="35" borderId="22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23" xfId="0" applyFont="1" applyFill="1" applyBorder="1" applyAlignment="1">
      <alignment/>
    </xf>
    <xf numFmtId="0" fontId="20" fillId="35" borderId="28" xfId="0" applyFont="1" applyFill="1" applyBorder="1" applyAlignment="1">
      <alignment/>
    </xf>
    <xf numFmtId="0" fontId="20" fillId="35" borderId="17" xfId="0" applyFont="1" applyFill="1" applyBorder="1" applyAlignment="1">
      <alignment/>
    </xf>
    <xf numFmtId="0" fontId="20" fillId="35" borderId="18" xfId="0" applyFont="1" applyFill="1" applyBorder="1" applyAlignment="1">
      <alignment/>
    </xf>
    <xf numFmtId="0" fontId="26" fillId="34" borderId="21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20" fillId="34" borderId="20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0" fontId="20" fillId="34" borderId="23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0" fillId="34" borderId="17" xfId="0" applyFont="1" applyFill="1" applyBorder="1" applyAlignment="1">
      <alignment/>
    </xf>
    <xf numFmtId="0" fontId="32" fillId="34" borderId="17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26" fillId="36" borderId="21" xfId="0" applyFont="1" applyFill="1" applyBorder="1" applyAlignment="1">
      <alignment/>
    </xf>
    <xf numFmtId="0" fontId="20" fillId="36" borderId="13" xfId="0" applyFont="1" applyFill="1" applyBorder="1" applyAlignment="1">
      <alignment/>
    </xf>
    <xf numFmtId="0" fontId="32" fillId="36" borderId="13" xfId="0" applyFont="1" applyFill="1" applyBorder="1" applyAlignment="1">
      <alignment/>
    </xf>
    <xf numFmtId="0" fontId="20" fillId="36" borderId="20" xfId="0" applyFont="1" applyFill="1" applyBorder="1" applyAlignment="1">
      <alignment/>
    </xf>
    <xf numFmtId="0" fontId="20" fillId="37" borderId="14" xfId="0" applyFont="1" applyFill="1" applyBorder="1" applyAlignment="1">
      <alignment/>
    </xf>
    <xf numFmtId="0" fontId="20" fillId="36" borderId="22" xfId="0" applyFont="1" applyFill="1" applyBorder="1" applyAlignment="1">
      <alignment/>
    </xf>
    <xf numFmtId="0" fontId="20" fillId="36" borderId="0" xfId="0" applyFont="1" applyFill="1" applyBorder="1" applyAlignment="1">
      <alignment/>
    </xf>
    <xf numFmtId="0" fontId="20" fillId="36" borderId="23" xfId="0" applyFont="1" applyFill="1" applyBorder="1" applyAlignment="1">
      <alignment/>
    </xf>
    <xf numFmtId="0" fontId="26" fillId="37" borderId="14" xfId="0" applyFont="1" applyFill="1" applyBorder="1" applyAlignment="1">
      <alignment/>
    </xf>
    <xf numFmtId="44" fontId="26" fillId="37" borderId="14" xfId="44" applyFont="1" applyFill="1" applyBorder="1" applyAlignment="1">
      <alignment/>
    </xf>
    <xf numFmtId="39" fontId="20" fillId="37" borderId="14" xfId="0" applyNumberFormat="1" applyFont="1" applyFill="1" applyBorder="1" applyAlignment="1">
      <alignment/>
    </xf>
    <xf numFmtId="0" fontId="20" fillId="36" borderId="28" xfId="0" applyFont="1" applyFill="1" applyBorder="1" applyAlignment="1">
      <alignment/>
    </xf>
    <xf numFmtId="0" fontId="20" fillId="36" borderId="17" xfId="0" applyFont="1" applyFill="1" applyBorder="1" applyAlignment="1">
      <alignment/>
    </xf>
    <xf numFmtId="0" fontId="20" fillId="36" borderId="18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Fill="1" applyBorder="1" applyAlignment="1">
      <alignment/>
    </xf>
    <xf numFmtId="44" fontId="32" fillId="0" borderId="0" xfId="44" applyFont="1" applyFill="1" applyBorder="1" applyAlignment="1">
      <alignment horizontal="center"/>
    </xf>
    <xf numFmtId="0" fontId="20" fillId="0" borderId="0" xfId="0" applyFont="1" applyFill="1" applyAlignment="1">
      <alignment/>
    </xf>
    <xf numFmtId="44" fontId="26" fillId="0" borderId="0" xfId="44" applyFont="1" applyFill="1" applyBorder="1" applyAlignment="1">
      <alignment/>
    </xf>
    <xf numFmtId="39" fontId="20" fillId="0" borderId="0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4" fontId="33" fillId="0" borderId="15" xfId="44" applyFont="1" applyFill="1" applyBorder="1" applyAlignment="1">
      <alignment horizontal="center"/>
    </xf>
    <xf numFmtId="44" fontId="33" fillId="0" borderId="16" xfId="44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5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6" fillId="38" borderId="31" xfId="0" applyFont="1" applyFill="1" applyBorder="1" applyAlignment="1">
      <alignment/>
    </xf>
    <xf numFmtId="0" fontId="26" fillId="38" borderId="14" xfId="0" applyFont="1" applyFill="1" applyBorder="1" applyAlignment="1">
      <alignment/>
    </xf>
    <xf numFmtId="0" fontId="26" fillId="38" borderId="32" xfId="0" applyFont="1" applyFill="1" applyBorder="1" applyAlignment="1">
      <alignment/>
    </xf>
    <xf numFmtId="0" fontId="26" fillId="38" borderId="19" xfId="0" applyFont="1" applyFill="1" applyBorder="1" applyAlignment="1">
      <alignment/>
    </xf>
    <xf numFmtId="44" fontId="26" fillId="0" borderId="30" xfId="44" applyFont="1" applyBorder="1" applyAlignment="1">
      <alignment/>
    </xf>
    <xf numFmtId="39" fontId="20" fillId="35" borderId="31" xfId="0" applyNumberFormat="1" applyFont="1" applyFill="1" applyBorder="1" applyAlignment="1">
      <alignment/>
    </xf>
    <xf numFmtId="39" fontId="20" fillId="35" borderId="14" xfId="0" applyNumberFormat="1" applyFont="1" applyFill="1" applyBorder="1" applyAlignment="1">
      <alignment/>
    </xf>
    <xf numFmtId="39" fontId="20" fillId="35" borderId="32" xfId="0" applyNumberFormat="1" applyFont="1" applyFill="1" applyBorder="1" applyAlignment="1">
      <alignment/>
    </xf>
    <xf numFmtId="2" fontId="20" fillId="34" borderId="31" xfId="0" applyNumberFormat="1" applyFont="1" applyFill="1" applyBorder="1" applyAlignment="1">
      <alignment/>
    </xf>
    <xf numFmtId="39" fontId="20" fillId="36" borderId="31" xfId="0" applyNumberFormat="1" applyFont="1" applyFill="1" applyBorder="1" applyAlignment="1">
      <alignment/>
    </xf>
    <xf numFmtId="39" fontId="20" fillId="36" borderId="14" xfId="0" applyNumberFormat="1" applyFont="1" applyFill="1" applyBorder="1" applyAlignment="1">
      <alignment/>
    </xf>
    <xf numFmtId="39" fontId="20" fillId="36" borderId="32" xfId="0" applyNumberFormat="1" applyFont="1" applyFill="1" applyBorder="1" applyAlignment="1">
      <alignment/>
    </xf>
    <xf numFmtId="44" fontId="26" fillId="0" borderId="33" xfId="44" applyFont="1" applyBorder="1" applyAlignment="1">
      <alignment/>
    </xf>
    <xf numFmtId="39" fontId="20" fillId="35" borderId="34" xfId="0" applyNumberFormat="1" applyFont="1" applyFill="1" applyBorder="1" applyAlignment="1">
      <alignment/>
    </xf>
    <xf numFmtId="39" fontId="20" fillId="35" borderId="35" xfId="0" applyNumberFormat="1" applyFont="1" applyFill="1" applyBorder="1" applyAlignment="1">
      <alignment/>
    </xf>
    <xf numFmtId="39" fontId="20" fillId="35" borderId="36" xfId="0" applyNumberFormat="1" applyFont="1" applyFill="1" applyBorder="1" applyAlignment="1">
      <alignment/>
    </xf>
    <xf numFmtId="39" fontId="20" fillId="36" borderId="34" xfId="0" applyNumberFormat="1" applyFont="1" applyFill="1" applyBorder="1" applyAlignment="1">
      <alignment/>
    </xf>
    <xf numFmtId="39" fontId="20" fillId="36" borderId="35" xfId="0" applyNumberFormat="1" applyFont="1" applyFill="1" applyBorder="1" applyAlignment="1">
      <alignment/>
    </xf>
    <xf numFmtId="39" fontId="20" fillId="36" borderId="36" xfId="0" applyNumberFormat="1" applyFont="1" applyFill="1" applyBorder="1" applyAlignment="1">
      <alignment/>
    </xf>
    <xf numFmtId="0" fontId="26" fillId="0" borderId="0" xfId="0" applyFont="1" applyAlignment="1">
      <alignment/>
    </xf>
    <xf numFmtId="44" fontId="26" fillId="0" borderId="14" xfId="44" applyFont="1" applyBorder="1" applyAlignment="1">
      <alignment/>
    </xf>
    <xf numFmtId="2" fontId="20" fillId="35" borderId="14" xfId="58" applyNumberFormat="1" applyFont="1" applyFill="1" applyBorder="1" applyAlignment="1">
      <alignment/>
    </xf>
    <xf numFmtId="2" fontId="20" fillId="34" borderId="14" xfId="58" applyNumberFormat="1" applyFont="1" applyFill="1" applyBorder="1" applyAlignment="1">
      <alignment/>
    </xf>
    <xf numFmtId="2" fontId="20" fillId="36" borderId="14" xfId="58" applyNumberFormat="1" applyFont="1" applyFill="1" applyBorder="1" applyAlignment="1">
      <alignment/>
    </xf>
    <xf numFmtId="2" fontId="34" fillId="35" borderId="14" xfId="58" applyNumberFormat="1" applyFont="1" applyFill="1" applyBorder="1" applyAlignment="1">
      <alignment/>
    </xf>
    <xf numFmtId="2" fontId="34" fillId="34" borderId="14" xfId="58" applyNumberFormat="1" applyFont="1" applyFill="1" applyBorder="1" applyAlignment="1">
      <alignment/>
    </xf>
    <xf numFmtId="2" fontId="34" fillId="36" borderId="14" xfId="58" applyNumberFormat="1" applyFont="1" applyFill="1" applyBorder="1" applyAlignment="1">
      <alignment/>
    </xf>
    <xf numFmtId="169" fontId="20" fillId="35" borderId="14" xfId="58" applyNumberFormat="1" applyFont="1" applyFill="1" applyBorder="1" applyAlignment="1">
      <alignment/>
    </xf>
    <xf numFmtId="169" fontId="20" fillId="34" borderId="14" xfId="58" applyNumberFormat="1" applyFont="1" applyFill="1" applyBorder="1" applyAlignment="1">
      <alignment/>
    </xf>
    <xf numFmtId="169" fontId="20" fillId="36" borderId="14" xfId="58" applyNumberFormat="1" applyFont="1" applyFill="1" applyBorder="1" applyAlignment="1">
      <alignment/>
    </xf>
    <xf numFmtId="0" fontId="25" fillId="0" borderId="22" xfId="0" applyFont="1" applyBorder="1" applyAlignment="1">
      <alignment/>
    </xf>
    <xf numFmtId="0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0" fontId="25" fillId="0" borderId="23" xfId="0" applyFont="1" applyBorder="1" applyAlignment="1">
      <alignment/>
    </xf>
    <xf numFmtId="166" fontId="28" fillId="0" borderId="0" xfId="0" applyNumberFormat="1" applyFont="1" applyBorder="1" applyAlignment="1">
      <alignment/>
    </xf>
    <xf numFmtId="167" fontId="28" fillId="0" borderId="0" xfId="0" applyNumberFormat="1" applyFont="1" applyBorder="1" applyAlignment="1">
      <alignment horizontal="right"/>
    </xf>
    <xf numFmtId="9" fontId="28" fillId="0" borderId="0" xfId="58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17" xfId="0" applyFont="1" applyBorder="1" applyAlignment="1">
      <alignment/>
    </xf>
    <xf numFmtId="1" fontId="28" fillId="0" borderId="17" xfId="58" applyNumberFormat="1" applyFont="1" applyBorder="1" applyAlignment="1">
      <alignment/>
    </xf>
    <xf numFmtId="0" fontId="25" fillId="0" borderId="18" xfId="0" applyFont="1" applyBorder="1" applyAlignment="1">
      <alignment/>
    </xf>
    <xf numFmtId="0" fontId="7" fillId="33" borderId="21" xfId="0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25" fillId="33" borderId="20" xfId="0" applyFont="1" applyFill="1" applyBorder="1" applyAlignment="1">
      <alignment/>
    </xf>
    <xf numFmtId="0" fontId="7" fillId="0" borderId="35" xfId="0" applyFont="1" applyBorder="1" applyAlignment="1">
      <alignment horizontal="center" vertical="top" wrapText="1"/>
    </xf>
    <xf numFmtId="0" fontId="7" fillId="35" borderId="35" xfId="0" applyFont="1" applyFill="1" applyBorder="1" applyAlignment="1">
      <alignment horizontal="center" vertical="top" wrapText="1"/>
    </xf>
    <xf numFmtId="1" fontId="7" fillId="35" borderId="35" xfId="0" applyNumberFormat="1" applyFont="1" applyFill="1" applyBorder="1" applyAlignment="1">
      <alignment horizontal="center" vertical="top" wrapText="1"/>
    </xf>
    <xf numFmtId="0" fontId="7" fillId="34" borderId="37" xfId="0" applyFont="1" applyFill="1" applyBorder="1" applyAlignment="1">
      <alignment horizontal="center" vertical="top" wrapText="1"/>
    </xf>
    <xf numFmtId="1" fontId="7" fillId="34" borderId="37" xfId="0" applyNumberFormat="1" applyFont="1" applyFill="1" applyBorder="1" applyAlignment="1">
      <alignment horizontal="center" vertical="top" wrapText="1"/>
    </xf>
    <xf numFmtId="0" fontId="7" fillId="38" borderId="35" xfId="0" applyFont="1" applyFill="1" applyBorder="1" applyAlignment="1">
      <alignment horizontal="center" vertical="top" wrapText="1"/>
    </xf>
    <xf numFmtId="1" fontId="7" fillId="0" borderId="38" xfId="0" applyNumberFormat="1" applyFont="1" applyBorder="1" applyAlignment="1">
      <alignment/>
    </xf>
    <xf numFmtId="9" fontId="7" fillId="35" borderId="39" xfId="0" applyNumberFormat="1" applyFont="1" applyFill="1" applyBorder="1" applyAlignment="1">
      <alignment/>
    </xf>
    <xf numFmtId="1" fontId="25" fillId="35" borderId="39" xfId="0" applyNumberFormat="1" applyFont="1" applyFill="1" applyBorder="1" applyAlignment="1">
      <alignment/>
    </xf>
    <xf numFmtId="167" fontId="25" fillId="35" borderId="39" xfId="0" applyNumberFormat="1" applyFont="1" applyFill="1" applyBorder="1" applyAlignment="1">
      <alignment/>
    </xf>
    <xf numFmtId="9" fontId="25" fillId="34" borderId="39" xfId="0" applyNumberFormat="1" applyFont="1" applyFill="1" applyBorder="1" applyAlignment="1">
      <alignment/>
    </xf>
    <xf numFmtId="1" fontId="25" fillId="34" borderId="39" xfId="0" applyNumberFormat="1" applyFont="1" applyFill="1" applyBorder="1" applyAlignment="1">
      <alignment/>
    </xf>
    <xf numFmtId="167" fontId="25" fillId="34" borderId="39" xfId="0" applyNumberFormat="1" applyFont="1" applyFill="1" applyBorder="1" applyAlignment="1">
      <alignment/>
    </xf>
    <xf numFmtId="166" fontId="25" fillId="34" borderId="39" xfId="0" applyNumberFormat="1" applyFont="1" applyFill="1" applyBorder="1" applyAlignment="1">
      <alignment/>
    </xf>
    <xf numFmtId="166" fontId="25" fillId="38" borderId="40" xfId="0" applyNumberFormat="1" applyFont="1" applyFill="1" applyBorder="1" applyAlignment="1">
      <alignment/>
    </xf>
    <xf numFmtId="0" fontId="25" fillId="0" borderId="19" xfId="0" applyFont="1" applyBorder="1" applyAlignment="1">
      <alignment/>
    </xf>
    <xf numFmtId="9" fontId="25" fillId="35" borderId="15" xfId="0" applyNumberFormat="1" applyFont="1" applyFill="1" applyBorder="1" applyAlignment="1">
      <alignment/>
    </xf>
    <xf numFmtId="1" fontId="25" fillId="35" borderId="15" xfId="0" applyNumberFormat="1" applyFont="1" applyFill="1" applyBorder="1" applyAlignment="1">
      <alignment/>
    </xf>
    <xf numFmtId="167" fontId="25" fillId="35" borderId="15" xfId="0" applyNumberFormat="1" applyFont="1" applyFill="1" applyBorder="1" applyAlignment="1">
      <alignment/>
    </xf>
    <xf numFmtId="9" fontId="25" fillId="34" borderId="15" xfId="0" applyNumberFormat="1" applyFont="1" applyFill="1" applyBorder="1" applyAlignment="1">
      <alignment/>
    </xf>
    <xf numFmtId="1" fontId="25" fillId="34" borderId="15" xfId="0" applyNumberFormat="1" applyFont="1" applyFill="1" applyBorder="1" applyAlignment="1">
      <alignment/>
    </xf>
    <xf numFmtId="167" fontId="25" fillId="34" borderId="15" xfId="0" applyNumberFormat="1" applyFont="1" applyFill="1" applyBorder="1" applyAlignment="1">
      <alignment/>
    </xf>
    <xf numFmtId="166" fontId="25" fillId="34" borderId="15" xfId="0" applyNumberFormat="1" applyFont="1" applyFill="1" applyBorder="1" applyAlignment="1">
      <alignment/>
    </xf>
    <xf numFmtId="166" fontId="25" fillId="38" borderId="16" xfId="0" applyNumberFormat="1" applyFont="1" applyFill="1" applyBorder="1" applyAlignment="1">
      <alignment/>
    </xf>
    <xf numFmtId="9" fontId="25" fillId="35" borderId="17" xfId="0" applyNumberFormat="1" applyFont="1" applyFill="1" applyBorder="1" applyAlignment="1">
      <alignment/>
    </xf>
    <xf numFmtId="1" fontId="25" fillId="35" borderId="17" xfId="0" applyNumberFormat="1" applyFont="1" applyFill="1" applyBorder="1" applyAlignment="1">
      <alignment/>
    </xf>
    <xf numFmtId="167" fontId="25" fillId="35" borderId="17" xfId="0" applyNumberFormat="1" applyFont="1" applyFill="1" applyBorder="1" applyAlignment="1">
      <alignment/>
    </xf>
    <xf numFmtId="9" fontId="25" fillId="34" borderId="17" xfId="0" applyNumberFormat="1" applyFont="1" applyFill="1" applyBorder="1" applyAlignment="1">
      <alignment/>
    </xf>
    <xf numFmtId="1" fontId="25" fillId="34" borderId="17" xfId="0" applyNumberFormat="1" applyFont="1" applyFill="1" applyBorder="1" applyAlignment="1">
      <alignment/>
    </xf>
    <xf numFmtId="167" fontId="25" fillId="34" borderId="17" xfId="0" applyNumberFormat="1" applyFont="1" applyFill="1" applyBorder="1" applyAlignment="1">
      <alignment/>
    </xf>
    <xf numFmtId="166" fontId="25" fillId="34" borderId="17" xfId="0" applyNumberFormat="1" applyFont="1" applyFill="1" applyBorder="1" applyAlignment="1">
      <alignment/>
    </xf>
    <xf numFmtId="166" fontId="25" fillId="38" borderId="18" xfId="0" applyNumberFormat="1" applyFont="1" applyFill="1" applyBorder="1" applyAlignment="1">
      <alignment/>
    </xf>
    <xf numFmtId="0" fontId="25" fillId="0" borderId="41" xfId="0" applyFont="1" applyBorder="1" applyAlignment="1">
      <alignment/>
    </xf>
    <xf numFmtId="9" fontId="25" fillId="35" borderId="42" xfId="0" applyNumberFormat="1" applyFont="1" applyFill="1" applyBorder="1" applyAlignment="1">
      <alignment/>
    </xf>
    <xf numFmtId="1" fontId="25" fillId="35" borderId="42" xfId="0" applyNumberFormat="1" applyFont="1" applyFill="1" applyBorder="1" applyAlignment="1">
      <alignment/>
    </xf>
    <xf numFmtId="167" fontId="25" fillId="35" borderId="42" xfId="0" applyNumberFormat="1" applyFont="1" applyFill="1" applyBorder="1" applyAlignment="1">
      <alignment/>
    </xf>
    <xf numFmtId="9" fontId="25" fillId="34" borderId="42" xfId="0" applyNumberFormat="1" applyFont="1" applyFill="1" applyBorder="1" applyAlignment="1">
      <alignment/>
    </xf>
    <xf numFmtId="1" fontId="25" fillId="34" borderId="42" xfId="0" applyNumberFormat="1" applyFont="1" applyFill="1" applyBorder="1" applyAlignment="1">
      <alignment/>
    </xf>
    <xf numFmtId="167" fontId="25" fillId="34" borderId="42" xfId="0" applyNumberFormat="1" applyFont="1" applyFill="1" applyBorder="1" applyAlignment="1">
      <alignment/>
    </xf>
    <xf numFmtId="166" fontId="25" fillId="34" borderId="42" xfId="0" applyNumberFormat="1" applyFont="1" applyFill="1" applyBorder="1" applyAlignment="1">
      <alignment/>
    </xf>
    <xf numFmtId="166" fontId="25" fillId="38" borderId="43" xfId="0" applyNumberFormat="1" applyFont="1" applyFill="1" applyBorder="1" applyAlignment="1">
      <alignment/>
    </xf>
    <xf numFmtId="1" fontId="25" fillId="0" borderId="0" xfId="0" applyNumberFormat="1" applyFont="1" applyAlignment="1">
      <alignment/>
    </xf>
    <xf numFmtId="0" fontId="30" fillId="33" borderId="21" xfId="0" applyFont="1" applyFill="1" applyBorder="1" applyAlignment="1" applyProtection="1">
      <alignment/>
      <protection locked="0"/>
    </xf>
    <xf numFmtId="0" fontId="30" fillId="33" borderId="22" xfId="0" applyFont="1" applyFill="1" applyBorder="1" applyAlignment="1" applyProtection="1">
      <alignment/>
      <protection locked="0"/>
    </xf>
    <xf numFmtId="0" fontId="25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44" fontId="7" fillId="34" borderId="0" xfId="44" applyFont="1" applyFill="1" applyBorder="1" applyAlignment="1">
      <alignment/>
    </xf>
    <xf numFmtId="44" fontId="7" fillId="34" borderId="23" xfId="44" applyFont="1" applyFill="1" applyBorder="1" applyAlignment="1">
      <alignment/>
    </xf>
    <xf numFmtId="0" fontId="25" fillId="0" borderId="22" xfId="0" applyFont="1" applyFill="1" applyBorder="1" applyAlignment="1">
      <alignment horizontal="left"/>
    </xf>
    <xf numFmtId="44" fontId="25" fillId="0" borderId="0" xfId="44" applyFont="1" applyFill="1" applyBorder="1" applyAlignment="1">
      <alignment/>
    </xf>
    <xf numFmtId="174" fontId="25" fillId="0" borderId="0" xfId="44" applyNumberFormat="1" applyFont="1" applyFill="1" applyBorder="1" applyAlignment="1">
      <alignment horizontal="center"/>
    </xf>
    <xf numFmtId="43" fontId="7" fillId="0" borderId="0" xfId="42" applyFont="1" applyBorder="1" applyAlignment="1">
      <alignment/>
    </xf>
    <xf numFmtId="43" fontId="7" fillId="0" borderId="0" xfId="42" applyFont="1" applyFill="1" applyBorder="1" applyAlignment="1">
      <alignment/>
    </xf>
    <xf numFmtId="43" fontId="7" fillId="0" borderId="23" xfId="42" applyFont="1" applyFill="1" applyBorder="1" applyAlignment="1">
      <alignment/>
    </xf>
    <xf numFmtId="174" fontId="25" fillId="0" borderId="0" xfId="44" applyNumberFormat="1" applyFont="1" applyFill="1" applyBorder="1" applyAlignment="1">
      <alignment/>
    </xf>
    <xf numFmtId="43" fontId="25" fillId="0" borderId="0" xfId="42" applyFont="1" applyBorder="1" applyAlignment="1">
      <alignment/>
    </xf>
    <xf numFmtId="43" fontId="25" fillId="0" borderId="0" xfId="42" applyFont="1" applyFill="1" applyBorder="1" applyAlignment="1">
      <alignment/>
    </xf>
    <xf numFmtId="43" fontId="25" fillId="0" borderId="23" xfId="42" applyFont="1" applyFill="1" applyBorder="1" applyAlignment="1">
      <alignment/>
    </xf>
    <xf numFmtId="0" fontId="25" fillId="0" borderId="22" xfId="0" applyFont="1" applyBorder="1" applyAlignment="1">
      <alignment horizontal="left"/>
    </xf>
    <xf numFmtId="43" fontId="31" fillId="34" borderId="0" xfId="42" applyFont="1" applyFill="1" applyBorder="1" applyAlignment="1">
      <alignment/>
    </xf>
    <xf numFmtId="174" fontId="7" fillId="34" borderId="0" xfId="42" applyNumberFormat="1" applyFont="1" applyFill="1" applyBorder="1" applyAlignment="1">
      <alignment/>
    </xf>
    <xf numFmtId="43" fontId="7" fillId="34" borderId="0" xfId="42" applyFont="1" applyFill="1" applyBorder="1" applyAlignment="1">
      <alignment/>
    </xf>
    <xf numFmtId="43" fontId="7" fillId="34" borderId="23" xfId="42" applyFont="1" applyFill="1" applyBorder="1" applyAlignment="1">
      <alignment/>
    </xf>
    <xf numFmtId="0" fontId="25" fillId="36" borderId="22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43" fontId="7" fillId="36" borderId="0" xfId="42" applyFont="1" applyFill="1" applyBorder="1" applyAlignment="1">
      <alignment/>
    </xf>
    <xf numFmtId="43" fontId="7" fillId="36" borderId="23" xfId="42" applyFont="1" applyFill="1" applyBorder="1" applyAlignment="1">
      <alignment/>
    </xf>
    <xf numFmtId="0" fontId="7" fillId="36" borderId="22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44" fontId="7" fillId="36" borderId="0" xfId="44" applyFont="1" applyFill="1" applyBorder="1" applyAlignment="1">
      <alignment/>
    </xf>
    <xf numFmtId="44" fontId="25" fillId="0" borderId="0" xfId="44" applyFont="1" applyBorder="1" applyAlignment="1">
      <alignment horizontal="center"/>
    </xf>
    <xf numFmtId="44" fontId="25" fillId="0" borderId="0" xfId="44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44" fontId="7" fillId="0" borderId="0" xfId="44" applyFont="1" applyFill="1" applyBorder="1" applyAlignment="1">
      <alignment/>
    </xf>
    <xf numFmtId="44" fontId="25" fillId="0" borderId="0" xfId="44" applyNumberFormat="1" applyFont="1" applyBorder="1" applyAlignment="1">
      <alignment/>
    </xf>
    <xf numFmtId="44" fontId="35" fillId="0" borderId="0" xfId="44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74" fontId="7" fillId="0" borderId="0" xfId="44" applyNumberFormat="1" applyFont="1" applyFill="1" applyBorder="1" applyAlignment="1">
      <alignment/>
    </xf>
    <xf numFmtId="44" fontId="36" fillId="0" borderId="0" xfId="44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17" xfId="0" applyFont="1" applyBorder="1" applyAlignment="1">
      <alignment/>
    </xf>
    <xf numFmtId="44" fontId="36" fillId="0" borderId="17" xfId="44" applyFont="1" applyFill="1" applyBorder="1" applyAlignment="1">
      <alignment/>
    </xf>
    <xf numFmtId="174" fontId="7" fillId="0" borderId="17" xfId="44" applyNumberFormat="1" applyFont="1" applyFill="1" applyBorder="1" applyAlignment="1">
      <alignment/>
    </xf>
    <xf numFmtId="43" fontId="7" fillId="0" borderId="17" xfId="42" applyFont="1" applyBorder="1" applyAlignment="1">
      <alignment/>
    </xf>
    <xf numFmtId="43" fontId="7" fillId="0" borderId="18" xfId="42" applyFont="1" applyFill="1" applyBorder="1" applyAlignment="1">
      <alignment/>
    </xf>
    <xf numFmtId="0" fontId="36" fillId="34" borderId="22" xfId="0" applyFont="1" applyFill="1" applyBorder="1" applyAlignment="1">
      <alignment vertical="top"/>
    </xf>
    <xf numFmtId="0" fontId="7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wrapText="1"/>
    </xf>
    <xf numFmtId="0" fontId="7" fillId="36" borderId="0" xfId="0" applyFont="1" applyFill="1" applyBorder="1" applyAlignment="1">
      <alignment wrapText="1"/>
    </xf>
    <xf numFmtId="0" fontId="7" fillId="36" borderId="23" xfId="0" applyFont="1" applyFill="1" applyBorder="1" applyAlignment="1">
      <alignment wrapText="1"/>
    </xf>
    <xf numFmtId="2" fontId="31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/>
    </xf>
    <xf numFmtId="44" fontId="25" fillId="36" borderId="0" xfId="0" applyNumberFormat="1" applyFont="1" applyFill="1" applyBorder="1" applyAlignment="1">
      <alignment/>
    </xf>
    <xf numFmtId="44" fontId="25" fillId="36" borderId="23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44" fontId="7" fillId="36" borderId="0" xfId="0" applyNumberFormat="1" applyFont="1" applyFill="1" applyBorder="1" applyAlignment="1">
      <alignment/>
    </xf>
    <xf numFmtId="44" fontId="7" fillId="36" borderId="23" xfId="0" applyNumberFormat="1" applyFont="1" applyFill="1" applyBorder="1" applyAlignment="1">
      <alignment/>
    </xf>
    <xf numFmtId="173" fontId="7" fillId="0" borderId="0" xfId="42" applyNumberFormat="1" applyFont="1" applyFill="1" applyBorder="1" applyAlignment="1">
      <alignment/>
    </xf>
    <xf numFmtId="174" fontId="7" fillId="36" borderId="0" xfId="44" applyNumberFormat="1" applyFont="1" applyFill="1" applyBorder="1" applyAlignment="1">
      <alignment/>
    </xf>
    <xf numFmtId="174" fontId="7" fillId="36" borderId="23" xfId="44" applyNumberFormat="1" applyFont="1" applyFill="1" applyBorder="1" applyAlignment="1">
      <alignment/>
    </xf>
    <xf numFmtId="0" fontId="7" fillId="34" borderId="22" xfId="0" applyFont="1" applyFill="1" applyBorder="1" applyAlignment="1">
      <alignment vertical="top"/>
    </xf>
    <xf numFmtId="173" fontId="7" fillId="34" borderId="0" xfId="42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174" fontId="7" fillId="34" borderId="0" xfId="44" applyNumberFormat="1" applyFont="1" applyFill="1" applyBorder="1" applyAlignment="1">
      <alignment/>
    </xf>
    <xf numFmtId="174" fontId="7" fillId="34" borderId="23" xfId="44" applyNumberFormat="1" applyFont="1" applyFill="1" applyBorder="1" applyAlignment="1">
      <alignment/>
    </xf>
    <xf numFmtId="0" fontId="25" fillId="0" borderId="22" xfId="0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25" fillId="0" borderId="0" xfId="0" applyNumberFormat="1" applyFont="1" applyFill="1" applyBorder="1" applyAlignment="1">
      <alignment/>
    </xf>
    <xf numFmtId="0" fontId="25" fillId="36" borderId="23" xfId="0" applyFont="1" applyFill="1" applyBorder="1" applyAlignment="1">
      <alignment/>
    </xf>
    <xf numFmtId="169" fontId="31" fillId="0" borderId="0" xfId="58" applyNumberFormat="1" applyFont="1" applyBorder="1" applyAlignment="1">
      <alignment/>
    </xf>
    <xf numFmtId="10" fontId="31" fillId="0" borderId="0" xfId="58" applyNumberFormat="1" applyFont="1" applyBorder="1" applyAlignment="1">
      <alignment/>
    </xf>
    <xf numFmtId="0" fontId="7" fillId="0" borderId="22" xfId="0" applyFont="1" applyFill="1" applyBorder="1" applyAlignment="1">
      <alignment horizontal="right"/>
    </xf>
    <xf numFmtId="10" fontId="31" fillId="0" borderId="0" xfId="58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4" fontId="7" fillId="36" borderId="23" xfId="44" applyFont="1" applyFill="1" applyBorder="1" applyAlignment="1">
      <alignment/>
    </xf>
    <xf numFmtId="173" fontId="7" fillId="34" borderId="0" xfId="0" applyNumberFormat="1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164" fontId="7" fillId="34" borderId="23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28" fillId="0" borderId="0" xfId="44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25" fillId="36" borderId="0" xfId="0" applyNumberFormat="1" applyFont="1" applyFill="1" applyBorder="1" applyAlignment="1">
      <alignment/>
    </xf>
    <xf numFmtId="44" fontId="25" fillId="36" borderId="23" xfId="44" applyFont="1" applyFill="1" applyBorder="1" applyAlignment="1">
      <alignment/>
    </xf>
    <xf numFmtId="169" fontId="28" fillId="0" borderId="0" xfId="58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39" borderId="22" xfId="0" applyFont="1" applyFill="1" applyBorder="1" applyAlignment="1">
      <alignment vertical="top"/>
    </xf>
    <xf numFmtId="0" fontId="7" fillId="39" borderId="0" xfId="0" applyFont="1" applyFill="1" applyBorder="1" applyAlignment="1">
      <alignment/>
    </xf>
    <xf numFmtId="44" fontId="7" fillId="39" borderId="0" xfId="44" applyFont="1" applyFill="1" applyBorder="1" applyAlignment="1">
      <alignment/>
    </xf>
    <xf numFmtId="0" fontId="7" fillId="36" borderId="21" xfId="0" applyFont="1" applyFill="1" applyBorder="1" applyAlignment="1">
      <alignment/>
    </xf>
    <xf numFmtId="0" fontId="25" fillId="36" borderId="13" xfId="0" applyFont="1" applyFill="1" applyBorder="1" applyAlignment="1">
      <alignment/>
    </xf>
    <xf numFmtId="44" fontId="7" fillId="36" borderId="13" xfId="44" applyFont="1" applyFill="1" applyBorder="1" applyAlignment="1">
      <alignment/>
    </xf>
    <xf numFmtId="165" fontId="7" fillId="36" borderId="13" xfId="0" applyNumberFormat="1" applyFont="1" applyFill="1" applyBorder="1" applyAlignment="1">
      <alignment/>
    </xf>
    <xf numFmtId="165" fontId="7" fillId="36" borderId="20" xfId="0" applyNumberFormat="1" applyFont="1" applyFill="1" applyBorder="1" applyAlignment="1">
      <alignment/>
    </xf>
    <xf numFmtId="0" fontId="7" fillId="36" borderId="28" xfId="0" applyFont="1" applyFill="1" applyBorder="1" applyAlignment="1">
      <alignment vertical="top" wrapText="1"/>
    </xf>
    <xf numFmtId="0" fontId="7" fillId="36" borderId="17" xfId="0" applyFont="1" applyFill="1" applyBorder="1" applyAlignment="1">
      <alignment/>
    </xf>
    <xf numFmtId="165" fontId="7" fillId="36" borderId="17" xfId="0" applyNumberFormat="1" applyFont="1" applyFill="1" applyBorder="1" applyAlignment="1">
      <alignment/>
    </xf>
    <xf numFmtId="169" fontId="7" fillId="36" borderId="17" xfId="58" applyNumberFormat="1" applyFont="1" applyFill="1" applyBorder="1" applyAlignment="1">
      <alignment/>
    </xf>
    <xf numFmtId="169" fontId="7" fillId="36" borderId="18" xfId="58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9" fontId="31" fillId="36" borderId="0" xfId="58" applyFont="1" applyFill="1" applyBorder="1" applyAlignment="1">
      <alignment/>
    </xf>
    <xf numFmtId="9" fontId="25" fillId="36" borderId="23" xfId="58" applyFont="1" applyFill="1" applyBorder="1" applyAlignment="1">
      <alignment/>
    </xf>
    <xf numFmtId="0" fontId="31" fillId="0" borderId="0" xfId="0" applyFont="1" applyBorder="1" applyAlignment="1">
      <alignment/>
    </xf>
    <xf numFmtId="1" fontId="31" fillId="0" borderId="0" xfId="44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44" fontId="31" fillId="0" borderId="0" xfId="44" applyFont="1" applyFill="1" applyBorder="1" applyAlignment="1">
      <alignment/>
    </xf>
    <xf numFmtId="174" fontId="25" fillId="36" borderId="0" xfId="0" applyNumberFormat="1" applyFont="1" applyFill="1" applyBorder="1" applyAlignment="1">
      <alignment/>
    </xf>
    <xf numFmtId="174" fontId="25" fillId="36" borderId="23" xfId="0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6" borderId="0" xfId="0" applyFont="1" applyFill="1" applyBorder="1" applyAlignment="1">
      <alignment vertical="top" wrapText="1"/>
    </xf>
    <xf numFmtId="0" fontId="7" fillId="36" borderId="23" xfId="0" applyFont="1" applyFill="1" applyBorder="1" applyAlignment="1">
      <alignment vertical="top" wrapText="1"/>
    </xf>
    <xf numFmtId="0" fontId="25" fillId="0" borderId="22" xfId="0" applyFont="1" applyFill="1" applyBorder="1" applyAlignment="1">
      <alignment vertical="top" wrapText="1"/>
    </xf>
    <xf numFmtId="0" fontId="25" fillId="0" borderId="22" xfId="0" applyFont="1" applyBorder="1" applyAlignment="1">
      <alignment wrapText="1"/>
    </xf>
    <xf numFmtId="173" fontId="31" fillId="0" borderId="0" xfId="42" applyNumberFormat="1" applyFont="1" applyBorder="1" applyAlignment="1">
      <alignment/>
    </xf>
    <xf numFmtId="43" fontId="31" fillId="0" borderId="0" xfId="42" applyFont="1" applyBorder="1" applyAlignment="1">
      <alignment/>
    </xf>
    <xf numFmtId="3" fontId="31" fillId="0" borderId="0" xfId="42" applyNumberFormat="1" applyFont="1" applyBorder="1" applyAlignment="1">
      <alignment/>
    </xf>
    <xf numFmtId="1" fontId="31" fillId="0" borderId="0" xfId="0" applyNumberFormat="1" applyFont="1" applyBorder="1" applyAlignment="1">
      <alignment/>
    </xf>
    <xf numFmtId="9" fontId="31" fillId="0" borderId="0" xfId="58" applyFont="1" applyBorder="1" applyAlignment="1">
      <alignment/>
    </xf>
    <xf numFmtId="169" fontId="31" fillId="0" borderId="0" xfId="58" applyNumberFormat="1" applyFont="1" applyFill="1" applyBorder="1" applyAlignment="1">
      <alignment/>
    </xf>
    <xf numFmtId="44" fontId="7" fillId="0" borderId="0" xfId="44" applyFont="1" applyBorder="1" applyAlignment="1">
      <alignment/>
    </xf>
    <xf numFmtId="0" fontId="22" fillId="33" borderId="0" xfId="0" applyFont="1" applyFill="1" applyAlignment="1">
      <alignment/>
    </xf>
    <xf numFmtId="0" fontId="30" fillId="33" borderId="19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25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25" fillId="0" borderId="19" xfId="0" applyNumberFormat="1" applyFont="1" applyBorder="1" applyAlignment="1">
      <alignment/>
    </xf>
    <xf numFmtId="169" fontId="25" fillId="0" borderId="14" xfId="58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44" fontId="25" fillId="0" borderId="14" xfId="0" applyNumberFormat="1" applyFont="1" applyBorder="1" applyAlignment="1">
      <alignment/>
    </xf>
    <xf numFmtId="44" fontId="25" fillId="0" borderId="14" xfId="44" applyFont="1" applyBorder="1" applyAlignment="1">
      <alignment/>
    </xf>
    <xf numFmtId="0" fontId="7" fillId="35" borderId="19" xfId="0" applyFont="1" applyFill="1" applyBorder="1" applyAlignment="1">
      <alignment/>
    </xf>
    <xf numFmtId="44" fontId="7" fillId="35" borderId="14" xfId="44" applyFont="1" applyFill="1" applyBorder="1" applyAlignment="1">
      <alignment/>
    </xf>
    <xf numFmtId="0" fontId="7" fillId="35" borderId="28" xfId="0" applyFont="1" applyFill="1" applyBorder="1" applyAlignment="1">
      <alignment/>
    </xf>
    <xf numFmtId="44" fontId="28" fillId="0" borderId="14" xfId="44" applyFont="1" applyBorder="1" applyAlignment="1">
      <alignment/>
    </xf>
    <xf numFmtId="0" fontId="25" fillId="0" borderId="14" xfId="0" applyFont="1" applyBorder="1" applyAlignment="1">
      <alignment horizontal="left" indent="2"/>
    </xf>
    <xf numFmtId="9" fontId="28" fillId="0" borderId="14" xfId="58" applyFont="1" applyBorder="1" applyAlignment="1">
      <alignment/>
    </xf>
    <xf numFmtId="164" fontId="25" fillId="0" borderId="14" xfId="44" applyNumberFormat="1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44" fontId="31" fillId="0" borderId="14" xfId="44" applyFont="1" applyBorder="1" applyAlignment="1">
      <alignment/>
    </xf>
    <xf numFmtId="175" fontId="31" fillId="0" borderId="14" xfId="42" applyNumberFormat="1" applyFont="1" applyBorder="1" applyAlignment="1">
      <alignment/>
    </xf>
    <xf numFmtId="169" fontId="31" fillId="0" borderId="14" xfId="58" applyNumberFormat="1" applyFont="1" applyBorder="1" applyAlignment="1">
      <alignment/>
    </xf>
    <xf numFmtId="164" fontId="7" fillId="0" borderId="14" xfId="0" applyNumberFormat="1" applyFont="1" applyFill="1" applyBorder="1" applyAlignment="1">
      <alignment/>
    </xf>
    <xf numFmtId="164" fontId="7" fillId="35" borderId="14" xfId="0" applyNumberFormat="1" applyFont="1" applyFill="1" applyBorder="1" applyAlignment="1">
      <alignment/>
    </xf>
    <xf numFmtId="172" fontId="25" fillId="0" borderId="14" xfId="0" applyNumberFormat="1" applyFont="1" applyBorder="1" applyAlignment="1">
      <alignment/>
    </xf>
    <xf numFmtId="0" fontId="7" fillId="40" borderId="14" xfId="0" applyFont="1" applyFill="1" applyBorder="1" applyAlignment="1">
      <alignment/>
    </xf>
    <xf numFmtId="164" fontId="7" fillId="40" borderId="14" xfId="0" applyNumberFormat="1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25" fillId="0" borderId="14" xfId="0" applyFont="1" applyFill="1" applyBorder="1" applyAlignment="1">
      <alignment vertical="top" wrapText="1"/>
    </xf>
    <xf numFmtId="173" fontId="28" fillId="0" borderId="14" xfId="42" applyNumberFormat="1" applyFont="1" applyFill="1" applyBorder="1" applyAlignment="1">
      <alignment/>
    </xf>
    <xf numFmtId="173" fontId="31" fillId="0" borderId="14" xfId="42" applyNumberFormat="1" applyFont="1" applyFill="1" applyBorder="1" applyAlignment="1">
      <alignment/>
    </xf>
    <xf numFmtId="174" fontId="7" fillId="35" borderId="0" xfId="44" applyNumberFormat="1" applyFont="1" applyFill="1" applyAlignment="1">
      <alignment/>
    </xf>
    <xf numFmtId="173" fontId="31" fillId="35" borderId="14" xfId="42" applyNumberFormat="1" applyFont="1" applyFill="1" applyBorder="1" applyAlignment="1">
      <alignment/>
    </xf>
    <xf numFmtId="0" fontId="25" fillId="35" borderId="14" xfId="0" applyFont="1" applyFill="1" applyBorder="1" applyAlignment="1">
      <alignment/>
    </xf>
    <xf numFmtId="169" fontId="28" fillId="0" borderId="14" xfId="58" applyNumberFormat="1" applyFont="1" applyFill="1" applyBorder="1" applyAlignment="1">
      <alignment/>
    </xf>
    <xf numFmtId="173" fontId="25" fillId="0" borderId="14" xfId="0" applyNumberFormat="1" applyFont="1" applyBorder="1" applyAlignment="1">
      <alignment/>
    </xf>
    <xf numFmtId="44" fontId="25" fillId="0" borderId="14" xfId="44" applyNumberFormat="1" applyFon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1" fontId="25" fillId="0" borderId="14" xfId="58" applyNumberFormat="1" applyFont="1" applyFill="1" applyBorder="1" applyAlignment="1">
      <alignment/>
    </xf>
    <xf numFmtId="173" fontId="28" fillId="35" borderId="14" xfId="42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indent="2"/>
    </xf>
    <xf numFmtId="173" fontId="28" fillId="0" borderId="14" xfId="42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173" fontId="7" fillId="0" borderId="14" xfId="42" applyNumberFormat="1" applyFont="1" applyFill="1" applyBorder="1" applyAlignment="1">
      <alignment/>
    </xf>
    <xf numFmtId="0" fontId="25" fillId="0" borderId="14" xfId="0" applyFont="1" applyBorder="1" applyAlignment="1">
      <alignment horizontal="center"/>
    </xf>
    <xf numFmtId="44" fontId="25" fillId="0" borderId="14" xfId="44" applyFont="1" applyFill="1" applyBorder="1" applyAlignment="1">
      <alignment/>
    </xf>
    <xf numFmtId="10" fontId="28" fillId="0" borderId="14" xfId="58" applyNumberFormat="1" applyFont="1" applyFill="1" applyBorder="1" applyAlignment="1">
      <alignment/>
    </xf>
    <xf numFmtId="0" fontId="7" fillId="35" borderId="14" xfId="0" applyFont="1" applyFill="1" applyBorder="1" applyAlignment="1">
      <alignment horizontal="left"/>
    </xf>
    <xf numFmtId="10" fontId="28" fillId="35" borderId="14" xfId="58" applyNumberFormat="1" applyFont="1" applyFill="1" applyBorder="1" applyAlignment="1">
      <alignment/>
    </xf>
    <xf numFmtId="173" fontId="25" fillId="35" borderId="14" xfId="0" applyNumberFormat="1" applyFont="1" applyFill="1" applyBorder="1" applyAlignment="1">
      <alignment/>
    </xf>
    <xf numFmtId="44" fontId="25" fillId="35" borderId="14" xfId="44" applyFont="1" applyFill="1" applyBorder="1" applyAlignment="1">
      <alignment/>
    </xf>
    <xf numFmtId="44" fontId="28" fillId="0" borderId="14" xfId="44" applyFont="1" applyFill="1" applyBorder="1" applyAlignment="1">
      <alignment/>
    </xf>
    <xf numFmtId="0" fontId="0" fillId="0" borderId="27" xfId="0" applyFont="1" applyBorder="1" applyAlignment="1">
      <alignment/>
    </xf>
    <xf numFmtId="164" fontId="25" fillId="0" borderId="14" xfId="0" applyNumberFormat="1" applyFont="1" applyFill="1" applyBorder="1" applyAlignment="1">
      <alignment/>
    </xf>
    <xf numFmtId="169" fontId="28" fillId="0" borderId="14" xfId="58" applyNumberFormat="1" applyFont="1" applyFill="1" applyBorder="1" applyAlignment="1">
      <alignment/>
    </xf>
    <xf numFmtId="169" fontId="28" fillId="35" borderId="14" xfId="58" applyNumberFormat="1" applyFont="1" applyFill="1" applyBorder="1" applyAlignment="1">
      <alignment/>
    </xf>
    <xf numFmtId="172" fontId="28" fillId="0" borderId="14" xfId="42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30" fillId="33" borderId="19" xfId="0" applyFont="1" applyFill="1" applyBorder="1" applyAlignment="1">
      <alignment/>
    </xf>
    <xf numFmtId="0" fontId="30" fillId="33" borderId="15" xfId="0" applyFont="1" applyFill="1" applyBorder="1" applyAlignment="1">
      <alignment/>
    </xf>
    <xf numFmtId="0" fontId="30" fillId="33" borderId="28" xfId="0" applyFont="1" applyFill="1" applyBorder="1" applyAlignment="1">
      <alignment/>
    </xf>
    <xf numFmtId="0" fontId="30" fillId="33" borderId="17" xfId="0" applyFont="1" applyFill="1" applyBorder="1" applyAlignment="1">
      <alignment/>
    </xf>
    <xf numFmtId="44" fontId="32" fillId="35" borderId="0" xfId="44" applyFont="1" applyFill="1" applyBorder="1" applyAlignment="1">
      <alignment/>
    </xf>
    <xf numFmtId="44" fontId="32" fillId="35" borderId="17" xfId="44" applyFont="1" applyFill="1" applyBorder="1" applyAlignment="1">
      <alignment/>
    </xf>
    <xf numFmtId="44" fontId="32" fillId="36" borderId="0" xfId="44" applyFont="1" applyFill="1" applyBorder="1" applyAlignment="1">
      <alignment/>
    </xf>
    <xf numFmtId="0" fontId="26" fillId="37" borderId="15" xfId="0" applyFont="1" applyFill="1" applyBorder="1" applyAlignment="1">
      <alignment vertical="top" wrapText="1"/>
    </xf>
    <xf numFmtId="0" fontId="26" fillId="37" borderId="16" xfId="0" applyFont="1" applyFill="1" applyBorder="1" applyAlignment="1">
      <alignment vertical="top" wrapText="1"/>
    </xf>
    <xf numFmtId="0" fontId="26" fillId="37" borderId="19" xfId="0" applyFont="1" applyFill="1" applyBorder="1" applyAlignment="1">
      <alignment vertical="top"/>
    </xf>
    <xf numFmtId="0" fontId="20" fillId="0" borderId="19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20" fillId="0" borderId="16" xfId="0" applyFont="1" applyBorder="1" applyAlignment="1">
      <alignment vertical="top"/>
    </xf>
    <xf numFmtId="44" fontId="32" fillId="34" borderId="0" xfId="44" applyFont="1" applyFill="1" applyBorder="1" applyAlignment="1">
      <alignment/>
    </xf>
    <xf numFmtId="44" fontId="32" fillId="36" borderId="17" xfId="44" applyFont="1" applyFill="1" applyBorder="1" applyAlignment="1">
      <alignment/>
    </xf>
    <xf numFmtId="0" fontId="32" fillId="36" borderId="0" xfId="0" applyFont="1" applyFill="1" applyBorder="1" applyAlignment="1">
      <alignment/>
    </xf>
    <xf numFmtId="44" fontId="20" fillId="36" borderId="0" xfId="44" applyFont="1" applyFill="1" applyBorder="1" applyAlignment="1">
      <alignment/>
    </xf>
    <xf numFmtId="0" fontId="20" fillId="0" borderId="44" xfId="0" applyFont="1" applyBorder="1" applyAlignment="1">
      <alignment vertical="top"/>
    </xf>
    <xf numFmtId="0" fontId="20" fillId="0" borderId="45" xfId="0" applyFont="1" applyBorder="1" applyAlignment="1">
      <alignment vertical="top"/>
    </xf>
    <xf numFmtId="0" fontId="20" fillId="0" borderId="44" xfId="0" applyFont="1" applyBorder="1" applyAlignment="1">
      <alignment horizontal="left" vertical="top" indent="1"/>
    </xf>
    <xf numFmtId="0" fontId="20" fillId="0" borderId="15" xfId="0" applyFont="1" applyBorder="1" applyAlignment="1">
      <alignment horizontal="left" vertical="top" indent="1"/>
    </xf>
    <xf numFmtId="0" fontId="20" fillId="0" borderId="45" xfId="0" applyFont="1" applyBorder="1" applyAlignment="1">
      <alignment horizontal="left" vertical="top" indent="1"/>
    </xf>
    <xf numFmtId="0" fontId="20" fillId="0" borderId="44" xfId="0" applyFont="1" applyBorder="1" applyAlignment="1">
      <alignment horizontal="left" vertical="top" indent="8"/>
    </xf>
    <xf numFmtId="0" fontId="20" fillId="0" borderId="15" xfId="0" applyFont="1" applyBorder="1" applyAlignment="1">
      <alignment horizontal="left" vertical="top" indent="8"/>
    </xf>
    <xf numFmtId="0" fontId="20" fillId="0" borderId="45" xfId="0" applyFont="1" applyBorder="1" applyAlignment="1">
      <alignment horizontal="left" vertical="top" indent="8"/>
    </xf>
    <xf numFmtId="0" fontId="7" fillId="36" borderId="0" xfId="0" applyFont="1" applyFill="1" applyBorder="1" applyAlignment="1">
      <alignment horizontal="left" indent="5"/>
    </xf>
    <xf numFmtId="0" fontId="7" fillId="36" borderId="0" xfId="0" applyFont="1" applyFill="1" applyBorder="1" applyAlignment="1">
      <alignment horizontal="left" indent="7"/>
    </xf>
    <xf numFmtId="43" fontId="7" fillId="36" borderId="0" xfId="42" applyFont="1" applyFill="1" applyBorder="1" applyAlignment="1">
      <alignment horizontal="left" indent="8"/>
    </xf>
    <xf numFmtId="0" fontId="20" fillId="35" borderId="23" xfId="0" applyFont="1" applyFill="1" applyBorder="1" applyAlignment="1">
      <alignment horizontal="left"/>
    </xf>
    <xf numFmtId="0" fontId="7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spc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ont>
        <color indexed="10"/>
      </font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rgb="FFFF0000"/>
      </font>
      <fill>
        <patternFill>
          <bgColor rgb="FF00FFFF"/>
        </patternFill>
      </fill>
      <border/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G Times"/>
                <a:ea typeface="CG Times"/>
                <a:cs typeface="CG Times"/>
              </a:rPr>
              <a:t>Cash vs Variable Share Rent</a:t>
            </a:r>
          </a:p>
        </c:rich>
      </c:tx>
      <c:layout>
        <c:manualLayout>
          <c:xMode val="factor"/>
          <c:yMode val="factor"/>
          <c:x val="0.01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19"/>
          <c:w val="0.94425"/>
          <c:h val="0.7505"/>
        </c:manualLayout>
      </c:layout>
      <c:lineChart>
        <c:grouping val="standard"/>
        <c:varyColors val="0"/>
        <c:ser>
          <c:idx val="1"/>
          <c:order val="0"/>
          <c:tx>
            <c:v>Variable Share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'Flexible Cash -%'!$B$11:$B$27</c:f>
              <c:numCache>
                <c:ptCount val="17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170</c:v>
                </c:pt>
                <c:pt idx="15">
                  <c:v>175</c:v>
                </c:pt>
                <c:pt idx="16">
                  <c:v>180</c:v>
                </c:pt>
              </c:numCache>
            </c:numRef>
          </c:cat>
          <c:val>
            <c:numRef>
              <c:f>'Flexible Cash -%'!$I$11:$I$27</c:f>
              <c:numCache>
                <c:ptCount val="17"/>
                <c:pt idx="0">
                  <c:v>-21.120000000000005</c:v>
                </c:pt>
                <c:pt idx="1">
                  <c:v>-7.175999999999988</c:v>
                </c:pt>
                <c:pt idx="2">
                  <c:v>6.767999999999972</c:v>
                </c:pt>
                <c:pt idx="3">
                  <c:v>20.71199999999999</c:v>
                </c:pt>
                <c:pt idx="4">
                  <c:v>26.687999999999988</c:v>
                </c:pt>
                <c:pt idx="5">
                  <c:v>40.30000000000001</c:v>
                </c:pt>
                <c:pt idx="6">
                  <c:v>53.912000000000035</c:v>
                </c:pt>
                <c:pt idx="7">
                  <c:v>67.524</c:v>
                </c:pt>
                <c:pt idx="8">
                  <c:v>71.83999999999997</c:v>
                </c:pt>
                <c:pt idx="9">
                  <c:v>85.12</c:v>
                </c:pt>
                <c:pt idx="10">
                  <c:v>88.44</c:v>
                </c:pt>
                <c:pt idx="11">
                  <c:v>101.38799999999998</c:v>
                </c:pt>
                <c:pt idx="12">
                  <c:v>103.71199999999999</c:v>
                </c:pt>
                <c:pt idx="13">
                  <c:v>116.32799999999997</c:v>
                </c:pt>
                <c:pt idx="14">
                  <c:v>117.65599999999995</c:v>
                </c:pt>
                <c:pt idx="15">
                  <c:v>124.13</c:v>
                </c:pt>
                <c:pt idx="16">
                  <c:v>130.27199999999993</c:v>
                </c:pt>
              </c:numCache>
            </c:numRef>
          </c:val>
          <c:smooth val="0"/>
        </c:ser>
        <c:ser>
          <c:idx val="2"/>
          <c:order val="1"/>
          <c:tx>
            <c:v>Cash Rent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'Flexible Cash -%'!$B$11:$B$27</c:f>
              <c:numCache>
                <c:ptCount val="17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170</c:v>
                </c:pt>
                <c:pt idx="15">
                  <c:v>175</c:v>
                </c:pt>
                <c:pt idx="16">
                  <c:v>180</c:v>
                </c:pt>
              </c:numCache>
            </c:numRef>
          </c:cat>
          <c:val>
            <c:numRef>
              <c:f>'Flexible Cash -%'!$J$11:$J$27</c:f>
              <c:numCache>
                <c:ptCount val="17"/>
                <c:pt idx="0">
                  <c:v>-88</c:v>
                </c:pt>
                <c:pt idx="1">
                  <c:v>-71.40000000000003</c:v>
                </c:pt>
                <c:pt idx="2">
                  <c:v>-54.80000000000001</c:v>
                </c:pt>
                <c:pt idx="3">
                  <c:v>-38.200000000000045</c:v>
                </c:pt>
                <c:pt idx="4">
                  <c:v>-21.600000000000023</c:v>
                </c:pt>
                <c:pt idx="5">
                  <c:v>-5</c:v>
                </c:pt>
                <c:pt idx="6">
                  <c:v>11.599999999999966</c:v>
                </c:pt>
                <c:pt idx="7">
                  <c:v>28.19999999999999</c:v>
                </c:pt>
                <c:pt idx="8">
                  <c:v>44.799999999999955</c:v>
                </c:pt>
                <c:pt idx="9">
                  <c:v>61.39999999999998</c:v>
                </c:pt>
                <c:pt idx="10">
                  <c:v>78</c:v>
                </c:pt>
                <c:pt idx="11">
                  <c:v>94.60000000000002</c:v>
                </c:pt>
                <c:pt idx="12">
                  <c:v>111.19999999999993</c:v>
                </c:pt>
                <c:pt idx="13">
                  <c:v>127.79999999999995</c:v>
                </c:pt>
                <c:pt idx="14">
                  <c:v>144.39999999999998</c:v>
                </c:pt>
                <c:pt idx="15">
                  <c:v>161</c:v>
                </c:pt>
                <c:pt idx="16">
                  <c:v>177.60000000000002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4200436"/>
        <c:axId val="60695061"/>
      </c:lineChart>
      <c:catAx>
        <c:axId val="142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G Times"/>
                    <a:ea typeface="CG Times"/>
                    <a:cs typeface="CG Times"/>
                  </a:rPr>
                  <a:t>Corn Yield Bu./Acre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5061"/>
        <c:crossesAt val="-120"/>
        <c:auto val="1"/>
        <c:lblOffset val="100"/>
        <c:tickLblSkip val="1"/>
        <c:noMultiLvlLbl val="0"/>
      </c:catAx>
      <c:valAx>
        <c:axId val="60695061"/>
        <c:scaling>
          <c:orientation val="minMax"/>
          <c:max val="20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G Times"/>
                    <a:ea typeface="CG Times"/>
                    <a:cs typeface="CG Times"/>
                  </a:rPr>
                  <a:t>Gross Margin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00436"/>
        <c:crossesAt val="1"/>
        <c:crossBetween val="between"/>
        <c:dispUnits/>
        <c:majorUnit val="20"/>
        <c:minorUnit val="4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725"/>
          <c:y val="0.95225"/>
          <c:w val="0.253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G Times"/>
          <a:ea typeface="CG Times"/>
          <a:cs typeface="CG Times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6</xdr:row>
      <xdr:rowOff>38100</xdr:rowOff>
    </xdr:from>
    <xdr:to>
      <xdr:col>2</xdr:col>
      <xdr:colOff>28575</xdr:colOff>
      <xdr:row>8</xdr:row>
      <xdr:rowOff>142875</xdr:rowOff>
    </xdr:to>
    <xdr:pic>
      <xdr:nvPicPr>
        <xdr:cNvPr id="1" name="Picture 1" descr="NEW Ont Trillium logo blk2007"/>
        <xdr:cNvPicPr preferRelativeResize="1">
          <a:picLocks noChangeAspect="1"/>
        </xdr:cNvPicPr>
      </xdr:nvPicPr>
      <xdr:blipFill>
        <a:blip r:embed="rId1"/>
        <a:srcRect l="2563" t="16453" b="19195"/>
        <a:stretch>
          <a:fillRect/>
        </a:stretch>
      </xdr:blipFill>
      <xdr:spPr>
        <a:xfrm>
          <a:off x="5248275" y="13525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66.375" style="0" customWidth="1"/>
    <col min="2" max="2" width="28.50390625" style="0" customWidth="1"/>
  </cols>
  <sheetData>
    <row r="1" ht="15.75">
      <c r="A1" s="524" t="s">
        <v>290</v>
      </c>
    </row>
    <row r="2" spans="1:7" ht="26.25">
      <c r="A2" s="89" t="s">
        <v>48</v>
      </c>
      <c r="B2" s="20"/>
      <c r="C2" s="6"/>
      <c r="D2" s="6"/>
      <c r="E2" s="6"/>
      <c r="F2" s="6"/>
      <c r="G2" s="6"/>
    </row>
    <row r="3" ht="7.5" customHeight="1" thickBot="1"/>
    <row r="4" ht="18" customHeight="1">
      <c r="A4" s="21"/>
    </row>
    <row r="5" ht="18" customHeight="1">
      <c r="A5" s="22"/>
    </row>
    <row r="6" ht="18" customHeight="1">
      <c r="A6" s="22"/>
    </row>
    <row r="7" ht="18" customHeight="1">
      <c r="A7" s="22"/>
    </row>
    <row r="8" ht="18" customHeight="1">
      <c r="A8" s="22"/>
    </row>
    <row r="9" ht="18" customHeight="1">
      <c r="A9" s="22"/>
    </row>
    <row r="10" ht="18" customHeight="1">
      <c r="A10" s="22"/>
    </row>
    <row r="11" ht="18" customHeight="1">
      <c r="A11" s="22"/>
    </row>
    <row r="12" ht="18" customHeight="1">
      <c r="A12" s="22"/>
    </row>
    <row r="13" ht="18" customHeight="1" thickBot="1">
      <c r="A13" s="23"/>
    </row>
    <row r="14" ht="7.5" customHeight="1">
      <c r="A14" s="80"/>
    </row>
    <row r="15" spans="1:2" ht="15.75">
      <c r="A15" s="84" t="s">
        <v>273</v>
      </c>
      <c r="B15" s="81"/>
    </row>
    <row r="16" spans="1:2" ht="15.75">
      <c r="A16" s="85" t="s">
        <v>274</v>
      </c>
      <c r="B16" s="81"/>
    </row>
    <row r="17" spans="1:2" ht="15.75">
      <c r="A17" s="86" t="s">
        <v>275</v>
      </c>
      <c r="B17" s="79"/>
    </row>
    <row r="18" ht="9" customHeight="1">
      <c r="A18" s="87"/>
    </row>
    <row r="19" ht="12.75" customHeight="1">
      <c r="A19" s="82" t="s">
        <v>45</v>
      </c>
    </row>
    <row r="20" ht="12.75" customHeight="1">
      <c r="A20" s="82" t="s">
        <v>46</v>
      </c>
    </row>
    <row r="21" ht="12.75" customHeight="1">
      <c r="A21" s="82" t="s">
        <v>47</v>
      </c>
    </row>
    <row r="22" ht="12.75" customHeight="1">
      <c r="A22" s="82" t="s">
        <v>241</v>
      </c>
    </row>
    <row r="23" ht="15.75">
      <c r="A23" s="88">
        <v>37257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zoomScale="80" zoomScaleNormal="80" zoomScalePageLayoutView="0" workbookViewId="0" topLeftCell="A1">
      <selection activeCell="B1" sqref="B1"/>
    </sheetView>
  </sheetViews>
  <sheetFormatPr defaultColWidth="8.75390625" defaultRowHeight="15"/>
  <cols>
    <col min="1" max="1" width="1.875" style="3" customWidth="1"/>
    <col min="2" max="2" width="38.375" style="3" customWidth="1"/>
    <col min="3" max="3" width="13.50390625" style="3" customWidth="1"/>
    <col min="4" max="4" width="4.125" style="3" customWidth="1"/>
    <col min="5" max="5" width="13.00390625" style="3" customWidth="1"/>
    <col min="6" max="6" width="13.125" style="3" customWidth="1"/>
    <col min="7" max="16384" width="8.75390625" style="3" customWidth="1"/>
  </cols>
  <sheetData>
    <row r="2" spans="2:6" ht="25.5">
      <c r="B2" s="77" t="s">
        <v>9</v>
      </c>
      <c r="C2" s="59"/>
      <c r="D2" s="59"/>
      <c r="E2" s="60"/>
      <c r="F2" s="61"/>
    </row>
    <row r="3" spans="2:7" ht="15.75">
      <c r="B3" s="90" t="s">
        <v>49</v>
      </c>
      <c r="C3" s="91">
        <v>100</v>
      </c>
      <c r="D3" s="90"/>
      <c r="E3" s="90"/>
      <c r="F3" s="90"/>
      <c r="G3" s="92"/>
    </row>
    <row r="4" spans="1:7" ht="47.25">
      <c r="A4" s="4"/>
      <c r="B4" s="93"/>
      <c r="C4" s="114" t="s">
        <v>10</v>
      </c>
      <c r="D4" s="114"/>
      <c r="E4" s="114" t="s">
        <v>11</v>
      </c>
      <c r="F4" s="114" t="s">
        <v>12</v>
      </c>
      <c r="G4" s="94"/>
    </row>
    <row r="5" spans="1:7" ht="15">
      <c r="A5" s="4"/>
      <c r="B5" s="92"/>
      <c r="C5" s="92"/>
      <c r="D5" s="92"/>
      <c r="E5" s="92"/>
      <c r="F5" s="92"/>
      <c r="G5" s="94"/>
    </row>
    <row r="6" spans="2:7" ht="15.75">
      <c r="B6" s="95" t="s">
        <v>13</v>
      </c>
      <c r="C6" s="96">
        <v>1800</v>
      </c>
      <c r="D6" s="97"/>
      <c r="E6" s="97"/>
      <c r="F6" s="97"/>
      <c r="G6" s="92"/>
    </row>
    <row r="7" spans="2:7" ht="15.75">
      <c r="B7" s="95" t="s">
        <v>14</v>
      </c>
      <c r="C7" s="98"/>
      <c r="D7" s="99" t="s">
        <v>15</v>
      </c>
      <c r="E7" s="100">
        <v>0.04</v>
      </c>
      <c r="F7" s="101">
        <f>C6*E7</f>
        <v>72</v>
      </c>
      <c r="G7" s="92"/>
    </row>
    <row r="8" spans="2:7" ht="15.75">
      <c r="B8" s="95" t="s">
        <v>16</v>
      </c>
      <c r="C8" s="98"/>
      <c r="D8" s="99" t="s">
        <v>15</v>
      </c>
      <c r="E8" s="100">
        <v>0.005</v>
      </c>
      <c r="F8" s="101">
        <f>E8*C6</f>
        <v>9</v>
      </c>
      <c r="G8" s="92"/>
    </row>
    <row r="9" spans="2:7" ht="15.75">
      <c r="B9" s="95" t="s">
        <v>17</v>
      </c>
      <c r="C9" s="102">
        <v>10</v>
      </c>
      <c r="D9" s="99" t="s">
        <v>15</v>
      </c>
      <c r="E9" s="100">
        <v>0.06</v>
      </c>
      <c r="F9" s="101">
        <f>E9*C9</f>
        <v>0.6</v>
      </c>
      <c r="G9" s="92"/>
    </row>
    <row r="10" spans="2:7" ht="15.75">
      <c r="B10" s="95" t="s">
        <v>18</v>
      </c>
      <c r="C10" s="102">
        <v>0</v>
      </c>
      <c r="D10" s="99"/>
      <c r="E10" s="98"/>
      <c r="F10" s="101"/>
      <c r="G10" s="92"/>
    </row>
    <row r="11" spans="2:7" ht="15.75">
      <c r="B11" s="103" t="s">
        <v>19</v>
      </c>
      <c r="C11" s="98"/>
      <c r="D11" s="99" t="s">
        <v>20</v>
      </c>
      <c r="E11" s="98">
        <v>10</v>
      </c>
      <c r="F11" s="101">
        <f>C10/E11</f>
        <v>0</v>
      </c>
      <c r="G11" s="92"/>
    </row>
    <row r="12" spans="2:7" ht="15.75">
      <c r="B12" s="103" t="s">
        <v>14</v>
      </c>
      <c r="C12" s="98"/>
      <c r="D12" s="99" t="s">
        <v>15</v>
      </c>
      <c r="E12" s="100">
        <v>0.05</v>
      </c>
      <c r="F12" s="101">
        <f>E12*$C$10</f>
        <v>0</v>
      </c>
      <c r="G12" s="92"/>
    </row>
    <row r="13" spans="2:7" ht="15.75">
      <c r="B13" s="103" t="s">
        <v>21</v>
      </c>
      <c r="C13" s="98"/>
      <c r="D13" s="99" t="s">
        <v>15</v>
      </c>
      <c r="E13" s="100">
        <v>0.01</v>
      </c>
      <c r="F13" s="101">
        <f>E13*$C$10</f>
        <v>0</v>
      </c>
      <c r="G13" s="92"/>
    </row>
    <row r="14" spans="2:7" ht="15.75">
      <c r="B14" s="103" t="s">
        <v>22</v>
      </c>
      <c r="C14" s="98"/>
      <c r="D14" s="99" t="s">
        <v>15</v>
      </c>
      <c r="E14" s="104">
        <v>0.0025</v>
      </c>
      <c r="F14" s="101">
        <f>E14*$C$10</f>
        <v>0</v>
      </c>
      <c r="G14" s="92"/>
    </row>
    <row r="15" spans="2:7" ht="15.75">
      <c r="B15" s="95" t="s">
        <v>23</v>
      </c>
      <c r="C15" s="102">
        <v>0</v>
      </c>
      <c r="D15" s="99"/>
      <c r="E15" s="98"/>
      <c r="F15" s="101"/>
      <c r="G15" s="92"/>
    </row>
    <row r="16" spans="2:7" ht="15.75">
      <c r="B16" s="103" t="s">
        <v>276</v>
      </c>
      <c r="C16" s="97"/>
      <c r="D16" s="99" t="s">
        <v>20</v>
      </c>
      <c r="E16" s="98">
        <v>20</v>
      </c>
      <c r="F16" s="101">
        <f>C15/E16</f>
        <v>0</v>
      </c>
      <c r="G16" s="92"/>
    </row>
    <row r="17" spans="2:7" ht="15.75">
      <c r="B17" s="103" t="s">
        <v>14</v>
      </c>
      <c r="C17" s="97"/>
      <c r="D17" s="99" t="s">
        <v>15</v>
      </c>
      <c r="E17" s="100">
        <v>0.05</v>
      </c>
      <c r="F17" s="101">
        <f>E17*$C$15</f>
        <v>0</v>
      </c>
      <c r="G17" s="92"/>
    </row>
    <row r="18" spans="2:7" ht="15.75">
      <c r="B18" s="103" t="s">
        <v>21</v>
      </c>
      <c r="C18" s="97"/>
      <c r="D18" s="99" t="s">
        <v>15</v>
      </c>
      <c r="E18" s="100">
        <v>0.01</v>
      </c>
      <c r="F18" s="101">
        <f>E18*$C$15</f>
        <v>0</v>
      </c>
      <c r="G18" s="92"/>
    </row>
    <row r="19" spans="2:7" ht="15.75">
      <c r="B19" s="103" t="s">
        <v>22</v>
      </c>
      <c r="C19" s="97"/>
      <c r="D19" s="99" t="s">
        <v>15</v>
      </c>
      <c r="E19" s="100">
        <v>0.001</v>
      </c>
      <c r="F19" s="101">
        <f>E19*$C$15</f>
        <v>0</v>
      </c>
      <c r="G19" s="92"/>
    </row>
    <row r="20" spans="2:7" ht="15.75">
      <c r="B20" s="95" t="s">
        <v>24</v>
      </c>
      <c r="C20" s="102">
        <v>0</v>
      </c>
      <c r="D20" s="99" t="s">
        <v>20</v>
      </c>
      <c r="E20" s="97"/>
      <c r="F20" s="97"/>
      <c r="G20" s="92"/>
    </row>
    <row r="21" spans="2:7" ht="15.75">
      <c r="B21" s="103" t="s">
        <v>276</v>
      </c>
      <c r="C21" s="105"/>
      <c r="D21" s="99"/>
      <c r="E21" s="98">
        <v>25</v>
      </c>
      <c r="F21" s="101">
        <f>C20/E21</f>
        <v>0</v>
      </c>
      <c r="G21" s="92"/>
    </row>
    <row r="22" spans="2:7" ht="15.75">
      <c r="B22" s="103" t="s">
        <v>25</v>
      </c>
      <c r="C22" s="97"/>
      <c r="D22" s="99" t="s">
        <v>15</v>
      </c>
      <c r="E22" s="100">
        <v>0.05</v>
      </c>
      <c r="F22" s="101">
        <f>E22*C20</f>
        <v>0</v>
      </c>
      <c r="G22" s="92"/>
    </row>
    <row r="23" spans="2:7" ht="15.75">
      <c r="B23" s="103" t="s">
        <v>26</v>
      </c>
      <c r="C23" s="97"/>
      <c r="D23" s="99" t="s">
        <v>15</v>
      </c>
      <c r="E23" s="100">
        <v>0.01</v>
      </c>
      <c r="F23" s="101">
        <f>E23*C20</f>
        <v>0</v>
      </c>
      <c r="G23" s="92"/>
    </row>
    <row r="24" spans="2:7" ht="15.75">
      <c r="B24" s="106" t="s">
        <v>242</v>
      </c>
      <c r="C24" s="107"/>
      <c r="D24" s="108"/>
      <c r="E24" s="107"/>
      <c r="F24" s="109">
        <f>SUM(F7:F23)</f>
        <v>81.6</v>
      </c>
      <c r="G24" s="92"/>
    </row>
    <row r="25" spans="2:7" ht="15.75">
      <c r="B25" s="110" t="s">
        <v>27</v>
      </c>
      <c r="C25" s="111"/>
      <c r="D25" s="111"/>
      <c r="E25" s="111"/>
      <c r="F25" s="109">
        <f>F24*C3</f>
        <v>8159.999999999999</v>
      </c>
      <c r="G25" s="92"/>
    </row>
    <row r="26" spans="2:7" ht="15.75">
      <c r="B26" s="112" t="s">
        <v>28</v>
      </c>
      <c r="C26" s="92"/>
      <c r="D26" s="92"/>
      <c r="E26" s="92"/>
      <c r="F26" s="92"/>
      <c r="G26" s="92"/>
    </row>
    <row r="27" spans="2:7" ht="15.75">
      <c r="B27" s="113" t="s">
        <v>29</v>
      </c>
      <c r="C27" s="92"/>
      <c r="D27" s="92"/>
      <c r="E27" s="92"/>
      <c r="F27" s="92"/>
      <c r="G27" s="92"/>
    </row>
    <row r="28" spans="2:7" ht="15.75">
      <c r="B28" s="113" t="s">
        <v>277</v>
      </c>
      <c r="C28" s="92"/>
      <c r="D28" s="92"/>
      <c r="E28" s="92"/>
      <c r="F28" s="92"/>
      <c r="G28" s="92"/>
    </row>
    <row r="29" spans="2:7" ht="15.75">
      <c r="B29" s="113" t="s">
        <v>30</v>
      </c>
      <c r="C29" s="92"/>
      <c r="D29" s="92"/>
      <c r="E29" s="92"/>
      <c r="F29" s="92"/>
      <c r="G29" s="92"/>
    </row>
    <row r="30" spans="2:7" ht="15">
      <c r="B30" s="92"/>
      <c r="C30" s="92"/>
      <c r="D30" s="92"/>
      <c r="E30" s="92"/>
      <c r="F30" s="92"/>
      <c r="G30" s="92"/>
    </row>
    <row r="31" spans="2:7" ht="15">
      <c r="B31" s="92"/>
      <c r="C31" s="92"/>
      <c r="D31" s="92"/>
      <c r="E31" s="92"/>
      <c r="F31" s="92"/>
      <c r="G31" s="92"/>
    </row>
  </sheetData>
  <sheetProtection/>
  <printOptions/>
  <pageMargins left="0.39" right="0.22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4"/>
  <sheetViews>
    <sheetView zoomScale="80" zoomScaleNormal="80" zoomScalePageLayoutView="0" workbookViewId="0" topLeftCell="A1">
      <selection activeCell="A1" sqref="A1"/>
    </sheetView>
  </sheetViews>
  <sheetFormatPr defaultColWidth="8.75390625" defaultRowHeight="15"/>
  <cols>
    <col min="1" max="1" width="2.875" style="25" customWidth="1"/>
    <col min="2" max="2" width="78.00390625" style="25" bestFit="1" customWidth="1"/>
    <col min="3" max="4" width="11.25390625" style="25" bestFit="1" customWidth="1"/>
    <col min="5" max="5" width="10.50390625" style="25" bestFit="1" customWidth="1"/>
    <col min="6" max="6" width="5.50390625" style="25" bestFit="1" customWidth="1"/>
    <col min="7" max="16384" width="8.75390625" style="25" customWidth="1"/>
  </cols>
  <sheetData>
    <row r="2" spans="2:6" ht="26.25" customHeight="1">
      <c r="B2" s="115" t="s">
        <v>236</v>
      </c>
      <c r="C2" s="63"/>
      <c r="D2" s="63"/>
      <c r="E2" s="63"/>
      <c r="F2" s="63"/>
    </row>
    <row r="3" spans="2:6" ht="18" customHeight="1">
      <c r="B3" s="116" t="s">
        <v>69</v>
      </c>
      <c r="C3" s="62" t="s">
        <v>82</v>
      </c>
      <c r="D3" s="62" t="s">
        <v>84</v>
      </c>
      <c r="E3" s="62" t="s">
        <v>83</v>
      </c>
      <c r="F3" s="62" t="s">
        <v>85</v>
      </c>
    </row>
    <row r="4" spans="2:6" ht="15.75">
      <c r="B4" s="121"/>
      <c r="C4" s="99" t="s">
        <v>31</v>
      </c>
      <c r="D4" s="99" t="s">
        <v>32</v>
      </c>
      <c r="E4" s="99" t="s">
        <v>33</v>
      </c>
      <c r="F4" s="95"/>
    </row>
    <row r="5" spans="2:6" ht="15.75">
      <c r="B5" s="97" t="s">
        <v>49</v>
      </c>
      <c r="C5" s="161">
        <v>120</v>
      </c>
      <c r="D5" s="161">
        <v>60</v>
      </c>
      <c r="E5" s="161">
        <v>45</v>
      </c>
      <c r="F5" s="162" t="s">
        <v>34</v>
      </c>
    </row>
    <row r="6" spans="2:6" ht="15.75">
      <c r="B6" s="119" t="s">
        <v>79</v>
      </c>
      <c r="C6" s="120">
        <v>145</v>
      </c>
      <c r="D6" s="120">
        <v>45</v>
      </c>
      <c r="E6" s="120">
        <v>45</v>
      </c>
      <c r="F6" s="163" t="s">
        <v>35</v>
      </c>
    </row>
    <row r="7" spans="2:6" ht="15.75">
      <c r="B7" s="119" t="s">
        <v>62</v>
      </c>
      <c r="C7" s="164">
        <v>3.2</v>
      </c>
      <c r="D7" s="164">
        <v>6.5</v>
      </c>
      <c r="E7" s="164">
        <v>3.75</v>
      </c>
      <c r="F7" s="165" t="s">
        <v>38</v>
      </c>
    </row>
    <row r="8" spans="2:6" ht="15.75">
      <c r="B8" s="119" t="s">
        <v>285</v>
      </c>
      <c r="C8" s="166">
        <f>C6*C7</f>
        <v>464</v>
      </c>
      <c r="D8" s="166">
        <f>D6*D7</f>
        <v>292.5</v>
      </c>
      <c r="E8" s="166">
        <f>E6*E7</f>
        <v>168.75</v>
      </c>
      <c r="F8" s="165" t="s">
        <v>39</v>
      </c>
    </row>
    <row r="9" spans="2:6" ht="15.75">
      <c r="B9" s="119" t="s">
        <v>90</v>
      </c>
      <c r="C9" s="166">
        <v>0</v>
      </c>
      <c r="D9" s="166">
        <v>0</v>
      </c>
      <c r="E9" s="166">
        <v>0</v>
      </c>
      <c r="F9" s="165" t="s">
        <v>42</v>
      </c>
    </row>
    <row r="10" spans="2:6" ht="15.75">
      <c r="B10" s="121" t="s">
        <v>122</v>
      </c>
      <c r="C10" s="166">
        <f>C9+C8</f>
        <v>464</v>
      </c>
      <c r="D10" s="166">
        <f>D9+D8</f>
        <v>292.5</v>
      </c>
      <c r="E10" s="166">
        <f>E9+E8</f>
        <v>168.75</v>
      </c>
      <c r="F10" s="165" t="s">
        <v>44</v>
      </c>
    </row>
    <row r="11" spans="2:6" ht="15.75">
      <c r="B11" s="167" t="s">
        <v>102</v>
      </c>
      <c r="C11" s="168">
        <f>C5*C10</f>
        <v>55680</v>
      </c>
      <c r="D11" s="168">
        <f>D5*D10</f>
        <v>17550</v>
      </c>
      <c r="E11" s="168">
        <f>E5*E10</f>
        <v>7593.75</v>
      </c>
      <c r="F11" s="169" t="s">
        <v>86</v>
      </c>
    </row>
    <row r="12" spans="2:6" ht="16.5" thickBot="1">
      <c r="B12" s="121" t="s">
        <v>81</v>
      </c>
      <c r="C12" s="170">
        <f>C5+D5+E5</f>
        <v>225</v>
      </c>
      <c r="D12" s="171"/>
      <c r="E12" s="172"/>
      <c r="F12" s="165" t="s">
        <v>87</v>
      </c>
    </row>
    <row r="13" spans="2:6" ht="16.5" thickBot="1">
      <c r="B13" s="155" t="s">
        <v>103</v>
      </c>
      <c r="C13" s="134">
        <f>(C11+D11+E11)/C12</f>
        <v>359.21666666666664</v>
      </c>
      <c r="D13" s="171"/>
      <c r="E13" s="172"/>
      <c r="F13" s="173" t="s">
        <v>88</v>
      </c>
    </row>
    <row r="14" spans="2:6" ht="18">
      <c r="B14" s="116" t="s">
        <v>237</v>
      </c>
      <c r="C14" s="52"/>
      <c r="D14" s="52"/>
      <c r="E14" s="52"/>
      <c r="F14" s="52"/>
    </row>
    <row r="15" spans="2:6" ht="15.75">
      <c r="B15" s="97"/>
      <c r="C15" s="99" t="str">
        <f>C4</f>
        <v>Corn</v>
      </c>
      <c r="D15" s="99" t="str">
        <f>D4</f>
        <v>Soybeans</v>
      </c>
      <c r="E15" s="99" t="str">
        <f>E4</f>
        <v>Wheat</v>
      </c>
      <c r="F15" s="95"/>
    </row>
    <row r="16" spans="2:6" ht="15">
      <c r="B16" s="97" t="s">
        <v>50</v>
      </c>
      <c r="C16" s="145">
        <v>49</v>
      </c>
      <c r="D16" s="145">
        <v>37</v>
      </c>
      <c r="E16" s="145">
        <v>28</v>
      </c>
      <c r="F16" s="146"/>
    </row>
    <row r="17" spans="2:6" ht="15">
      <c r="B17" s="97" t="s">
        <v>51</v>
      </c>
      <c r="C17" s="145">
        <f>11.2+8.3+58.65</f>
        <v>78.15</v>
      </c>
      <c r="D17" s="145">
        <v>13.2</v>
      </c>
      <c r="E17" s="145">
        <f>14+33</f>
        <v>47</v>
      </c>
      <c r="F17" s="146"/>
    </row>
    <row r="18" spans="2:6" ht="15">
      <c r="B18" s="97" t="s">
        <v>52</v>
      </c>
      <c r="C18" s="145">
        <v>28</v>
      </c>
      <c r="D18" s="145">
        <f>18+24</f>
        <v>42</v>
      </c>
      <c r="E18" s="145">
        <v>5</v>
      </c>
      <c r="F18" s="146"/>
    </row>
    <row r="19" spans="2:6" ht="15">
      <c r="B19" s="97" t="s">
        <v>75</v>
      </c>
      <c r="C19" s="145">
        <v>15</v>
      </c>
      <c r="D19" s="145"/>
      <c r="E19" s="145"/>
      <c r="F19" s="146"/>
    </row>
    <row r="20" spans="2:6" ht="15">
      <c r="B20" s="97" t="s">
        <v>65</v>
      </c>
      <c r="C20" s="145">
        <v>21</v>
      </c>
      <c r="D20" s="145">
        <v>16.2</v>
      </c>
      <c r="E20" s="145">
        <v>12.6</v>
      </c>
      <c r="F20" s="146"/>
    </row>
    <row r="21" spans="2:6" ht="15">
      <c r="B21" s="97" t="s">
        <v>66</v>
      </c>
      <c r="C21" s="145">
        <v>19</v>
      </c>
      <c r="D21" s="145">
        <v>16</v>
      </c>
      <c r="E21" s="145">
        <v>18</v>
      </c>
      <c r="F21" s="146"/>
    </row>
    <row r="22" spans="2:6" ht="15">
      <c r="B22" s="97" t="s">
        <v>54</v>
      </c>
      <c r="C22" s="145">
        <v>6.45</v>
      </c>
      <c r="D22" s="145">
        <v>8.5</v>
      </c>
      <c r="E22" s="145">
        <v>6.55</v>
      </c>
      <c r="F22" s="146"/>
    </row>
    <row r="23" spans="2:6" ht="15">
      <c r="B23" s="97" t="s">
        <v>57</v>
      </c>
      <c r="C23" s="145"/>
      <c r="D23" s="145"/>
      <c r="E23" s="145"/>
      <c r="F23" s="146"/>
    </row>
    <row r="24" spans="2:6" ht="15">
      <c r="B24" s="97" t="s">
        <v>53</v>
      </c>
      <c r="C24" s="145"/>
      <c r="D24" s="145"/>
      <c r="E24" s="145"/>
      <c r="F24" s="146"/>
    </row>
    <row r="25" spans="2:6" ht="15">
      <c r="B25" s="97" t="s">
        <v>76</v>
      </c>
      <c r="C25" s="145">
        <v>8</v>
      </c>
      <c r="D25" s="145"/>
      <c r="E25" s="145">
        <v>7</v>
      </c>
      <c r="F25" s="146"/>
    </row>
    <row r="26" spans="2:6" ht="15">
      <c r="B26" s="97" t="s">
        <v>55</v>
      </c>
      <c r="C26" s="145"/>
      <c r="D26" s="145"/>
      <c r="E26" s="145"/>
      <c r="F26" s="146"/>
    </row>
    <row r="27" spans="2:6" ht="15">
      <c r="B27" s="97" t="s">
        <v>56</v>
      </c>
      <c r="C27" s="145"/>
      <c r="D27" s="145"/>
      <c r="E27" s="145"/>
      <c r="F27" s="146"/>
    </row>
    <row r="28" spans="2:6" ht="15">
      <c r="B28" s="97" t="s">
        <v>77</v>
      </c>
      <c r="C28" s="145">
        <v>16</v>
      </c>
      <c r="D28" s="145"/>
      <c r="E28" s="145"/>
      <c r="F28" s="146"/>
    </row>
    <row r="29" spans="2:6" ht="15">
      <c r="B29" s="97" t="s">
        <v>67</v>
      </c>
      <c r="C29" s="145">
        <v>8</v>
      </c>
      <c r="D29" s="145">
        <v>5.35</v>
      </c>
      <c r="E29" s="145">
        <v>4.1</v>
      </c>
      <c r="F29" s="146"/>
    </row>
    <row r="30" spans="2:6" ht="15">
      <c r="B30" s="97" t="s">
        <v>58</v>
      </c>
      <c r="C30" s="145">
        <v>15</v>
      </c>
      <c r="D30" s="145"/>
      <c r="E30" s="145"/>
      <c r="F30" s="146"/>
    </row>
    <row r="31" spans="2:6" ht="15.75">
      <c r="B31" s="95" t="s">
        <v>104</v>
      </c>
      <c r="C31" s="147">
        <f>SUM(C16:C30)</f>
        <v>263.6</v>
      </c>
      <c r="D31" s="147">
        <f>SUM(D16:D30)</f>
        <v>138.25</v>
      </c>
      <c r="E31" s="147">
        <f>SUM(E16:E30)</f>
        <v>128.25</v>
      </c>
      <c r="F31" s="148" t="s">
        <v>89</v>
      </c>
    </row>
    <row r="32" spans="2:6" ht="15.75">
      <c r="B32" s="121" t="s">
        <v>125</v>
      </c>
      <c r="C32" s="149">
        <f>C10-C31</f>
        <v>200.39999999999998</v>
      </c>
      <c r="D32" s="149">
        <f>D10-D31</f>
        <v>154.25</v>
      </c>
      <c r="E32" s="149">
        <f>E10-E31</f>
        <v>40.5</v>
      </c>
      <c r="F32" s="150" t="s">
        <v>91</v>
      </c>
    </row>
    <row r="33" spans="2:6" ht="16.5" thickBot="1">
      <c r="B33" s="151" t="s">
        <v>105</v>
      </c>
      <c r="C33" s="152">
        <f>C5*C31</f>
        <v>31632.000000000004</v>
      </c>
      <c r="D33" s="153">
        <f>D5*D31</f>
        <v>8295</v>
      </c>
      <c r="E33" s="152">
        <f>E5*E31</f>
        <v>5771.25</v>
      </c>
      <c r="F33" s="154" t="s">
        <v>92</v>
      </c>
    </row>
    <row r="34" spans="2:6" ht="32.25" thickBot="1">
      <c r="B34" s="155" t="s">
        <v>284</v>
      </c>
      <c r="C34" s="156">
        <f>(C33+D33+E33)/C12</f>
        <v>203.10333333333332</v>
      </c>
      <c r="D34" s="157"/>
      <c r="E34" s="158"/>
      <c r="F34" s="159" t="s">
        <v>93</v>
      </c>
    </row>
    <row r="35" spans="2:6" ht="15.75">
      <c r="B35" s="121" t="s">
        <v>106</v>
      </c>
      <c r="C35" s="160">
        <f>C13-C34</f>
        <v>156.11333333333332</v>
      </c>
      <c r="D35" s="158"/>
      <c r="E35" s="158"/>
      <c r="F35" s="159" t="s">
        <v>94</v>
      </c>
    </row>
    <row r="36" spans="2:6" ht="18">
      <c r="B36" s="495" t="s">
        <v>68</v>
      </c>
      <c r="C36" s="496"/>
      <c r="D36" s="496"/>
      <c r="E36" s="496"/>
      <c r="F36" s="496"/>
    </row>
    <row r="37" spans="2:6" ht="15.75">
      <c r="B37" s="136" t="s">
        <v>37</v>
      </c>
      <c r="C37" s="137">
        <v>120000</v>
      </c>
      <c r="D37" s="119"/>
      <c r="E37" s="53"/>
      <c r="F37" s="99" t="s">
        <v>95</v>
      </c>
    </row>
    <row r="38" spans="2:6" ht="15.75">
      <c r="B38" s="136" t="s">
        <v>107</v>
      </c>
      <c r="C38" s="138">
        <f>C37/C12</f>
        <v>533.3333333333334</v>
      </c>
      <c r="D38" s="119"/>
      <c r="E38" s="119"/>
      <c r="F38" s="99" t="s">
        <v>96</v>
      </c>
    </row>
    <row r="39" spans="2:6" ht="15.75">
      <c r="B39" s="119" t="s">
        <v>108</v>
      </c>
      <c r="C39" s="139">
        <v>0.07</v>
      </c>
      <c r="D39" s="119"/>
      <c r="E39" s="119"/>
      <c r="F39" s="99" t="s">
        <v>97</v>
      </c>
    </row>
    <row r="40" spans="2:6" ht="15.75">
      <c r="B40" s="119" t="s">
        <v>280</v>
      </c>
      <c r="C40" s="140">
        <f>(C38/2)*C39</f>
        <v>18.66666666666667</v>
      </c>
      <c r="D40" s="119"/>
      <c r="E40" s="119"/>
      <c r="F40" s="99" t="s">
        <v>98</v>
      </c>
    </row>
    <row r="41" spans="2:9" ht="15.75">
      <c r="B41" s="119" t="s">
        <v>281</v>
      </c>
      <c r="C41" s="141">
        <f>C38*0.1</f>
        <v>53.33333333333334</v>
      </c>
      <c r="D41" s="119"/>
      <c r="E41" s="119"/>
      <c r="F41" s="99" t="s">
        <v>99</v>
      </c>
      <c r="I41" s="53"/>
    </row>
    <row r="42" spans="2:6" ht="15.75">
      <c r="B42" s="119" t="s">
        <v>282</v>
      </c>
      <c r="C42" s="141">
        <f>C38*0.0025</f>
        <v>1.3333333333333335</v>
      </c>
      <c r="D42" s="119"/>
      <c r="E42" s="119"/>
      <c r="F42" s="99" t="s">
        <v>100</v>
      </c>
    </row>
    <row r="43" spans="2:6" ht="16.5" thickBot="1">
      <c r="B43" s="119" t="s">
        <v>123</v>
      </c>
      <c r="C43" s="142">
        <v>0</v>
      </c>
      <c r="D43" s="119"/>
      <c r="E43" s="119"/>
      <c r="F43" s="99" t="s">
        <v>101</v>
      </c>
    </row>
    <row r="44" spans="2:6" ht="17.25" thickBot="1" thickTop="1">
      <c r="B44" s="128" t="s">
        <v>283</v>
      </c>
      <c r="C44" s="143">
        <f>SUM(C40:C43)</f>
        <v>73.33333333333334</v>
      </c>
      <c r="D44" s="144"/>
      <c r="E44" s="121"/>
      <c r="F44" s="99" t="s">
        <v>109</v>
      </c>
    </row>
    <row r="45" spans="2:6" ht="18">
      <c r="B45" s="497" t="s">
        <v>116</v>
      </c>
      <c r="C45" s="498"/>
      <c r="D45" s="498"/>
      <c r="E45" s="498"/>
      <c r="F45" s="498"/>
    </row>
    <row r="46" spans="2:6" ht="15.75">
      <c r="B46" s="119" t="s">
        <v>110</v>
      </c>
      <c r="C46" s="120">
        <v>0.5</v>
      </c>
      <c r="D46" s="121"/>
      <c r="E46" s="122"/>
      <c r="F46" s="123" t="s">
        <v>112</v>
      </c>
    </row>
    <row r="47" spans="2:6" ht="15.75">
      <c r="B47" s="119" t="s">
        <v>111</v>
      </c>
      <c r="C47" s="124">
        <v>9</v>
      </c>
      <c r="D47" s="121"/>
      <c r="E47" s="125"/>
      <c r="F47" s="99" t="s">
        <v>113</v>
      </c>
    </row>
    <row r="48" spans="2:6" ht="15.75">
      <c r="B48" s="119" t="s">
        <v>278</v>
      </c>
      <c r="C48" s="126">
        <f>C46*C47</f>
        <v>4.5</v>
      </c>
      <c r="D48" s="121"/>
      <c r="E48" s="125"/>
      <c r="F48" s="99" t="s">
        <v>114</v>
      </c>
    </row>
    <row r="49" spans="2:6" ht="15.75">
      <c r="B49" s="119" t="s">
        <v>124</v>
      </c>
      <c r="C49" s="127">
        <v>0.05</v>
      </c>
      <c r="D49" s="119"/>
      <c r="E49" s="128"/>
      <c r="F49" s="99" t="s">
        <v>115</v>
      </c>
    </row>
    <row r="50" spans="2:6" ht="15.75">
      <c r="B50" s="129" t="s">
        <v>279</v>
      </c>
      <c r="C50" s="130">
        <f>C49*C13</f>
        <v>17.960833333333333</v>
      </c>
      <c r="D50" s="129"/>
      <c r="E50" s="131"/>
      <c r="F50" s="99" t="s">
        <v>117</v>
      </c>
    </row>
    <row r="51" spans="2:6" ht="16.5" thickBot="1">
      <c r="B51" s="121" t="s">
        <v>118</v>
      </c>
      <c r="C51" s="132">
        <f>C48+C50</f>
        <v>22.460833333333333</v>
      </c>
      <c r="D51" s="119"/>
      <c r="E51" s="128"/>
      <c r="F51" s="99" t="s">
        <v>119</v>
      </c>
    </row>
    <row r="52" spans="2:6" ht="16.5" thickBot="1">
      <c r="B52" s="133" t="s">
        <v>120</v>
      </c>
      <c r="C52" s="134">
        <f>C34+C44+C51</f>
        <v>298.8975</v>
      </c>
      <c r="D52" s="135"/>
      <c r="E52" s="128"/>
      <c r="F52" s="99" t="s">
        <v>121</v>
      </c>
    </row>
    <row r="53" spans="2:6" ht="18" customHeight="1" thickBot="1">
      <c r="B53" s="117" t="s">
        <v>235</v>
      </c>
      <c r="C53" s="118">
        <f>C13-C52</f>
        <v>60.31916666666666</v>
      </c>
      <c r="D53" s="54"/>
      <c r="E53" s="36"/>
      <c r="F53" s="55"/>
    </row>
    <row r="54" spans="2:5" ht="12.75">
      <c r="B54" s="26"/>
      <c r="C54" s="26"/>
      <c r="D54" s="26"/>
      <c r="E54" s="26"/>
    </row>
  </sheetData>
  <sheetProtection/>
  <printOptions/>
  <pageMargins left="0.46" right="0.24" top="0.17" bottom="0.21" header="0.17" footer="0.19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7"/>
  <sheetViews>
    <sheetView zoomScale="80" zoomScaleNormal="80" zoomScalePageLayoutView="0" workbookViewId="0" topLeftCell="A1">
      <selection activeCell="B1" sqref="B1"/>
    </sheetView>
  </sheetViews>
  <sheetFormatPr defaultColWidth="8.75390625" defaultRowHeight="15"/>
  <cols>
    <col min="1" max="1" width="1.875" style="47" customWidth="1"/>
    <col min="2" max="14" width="11.625" style="47" customWidth="1"/>
    <col min="15" max="16384" width="8.75390625" style="47" customWidth="1"/>
  </cols>
  <sheetData>
    <row r="1" ht="8.25" customHeight="1"/>
    <row r="2" spans="2:14" ht="20.25" customHeight="1">
      <c r="B2" s="174" t="s">
        <v>239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2:14" ht="15.75">
      <c r="B3" s="175" t="s">
        <v>184</v>
      </c>
      <c r="C3" s="176"/>
      <c r="D3" s="176"/>
      <c r="E3" s="177"/>
      <c r="F3" s="176"/>
      <c r="G3" s="176"/>
      <c r="H3" s="178"/>
      <c r="I3" s="157"/>
      <c r="J3" s="157"/>
      <c r="K3" s="157"/>
      <c r="L3" s="157"/>
      <c r="M3" s="157"/>
      <c r="N3" s="179"/>
    </row>
    <row r="4" spans="2:14" ht="15.75">
      <c r="B4" s="180" t="s">
        <v>160</v>
      </c>
      <c r="C4" s="181"/>
      <c r="D4" s="181"/>
      <c r="E4" s="499">
        <v>100</v>
      </c>
      <c r="F4" s="499"/>
      <c r="G4" s="181"/>
      <c r="H4" s="182"/>
      <c r="I4" s="157"/>
      <c r="J4" s="157"/>
      <c r="K4" s="157"/>
      <c r="L4" s="157"/>
      <c r="M4" s="157"/>
      <c r="N4" s="179"/>
    </row>
    <row r="5" spans="2:14" ht="15.75">
      <c r="B5" s="180" t="s">
        <v>162</v>
      </c>
      <c r="C5" s="181"/>
      <c r="D5" s="181"/>
      <c r="E5" s="499">
        <v>3.25</v>
      </c>
      <c r="F5" s="499"/>
      <c r="G5" s="181" t="s">
        <v>168</v>
      </c>
      <c r="H5" s="523" t="s">
        <v>169</v>
      </c>
      <c r="I5" s="157"/>
      <c r="J5" s="157"/>
      <c r="K5" s="157"/>
      <c r="L5" s="157"/>
      <c r="M5" s="157"/>
      <c r="N5" s="179"/>
    </row>
    <row r="6" spans="2:14" ht="15.75">
      <c r="B6" s="180" t="s">
        <v>163</v>
      </c>
      <c r="C6" s="181"/>
      <c r="D6" s="181"/>
      <c r="E6" s="499">
        <v>0.1</v>
      </c>
      <c r="F6" s="499"/>
      <c r="G6" s="181"/>
      <c r="H6" s="182"/>
      <c r="I6" s="157"/>
      <c r="J6" s="157"/>
      <c r="K6" s="157"/>
      <c r="L6" s="157"/>
      <c r="M6" s="157"/>
      <c r="N6" s="179"/>
    </row>
    <row r="7" spans="2:14" ht="15.75">
      <c r="B7" s="183" t="s">
        <v>170</v>
      </c>
      <c r="C7" s="184"/>
      <c r="D7" s="184"/>
      <c r="E7" s="500">
        <v>7</v>
      </c>
      <c r="F7" s="500"/>
      <c r="G7" s="184"/>
      <c r="H7" s="185"/>
      <c r="I7" s="157"/>
      <c r="J7" s="157"/>
      <c r="K7" s="157"/>
      <c r="L7" s="157"/>
      <c r="M7" s="157"/>
      <c r="N7" s="179"/>
    </row>
    <row r="8" spans="2:14" ht="15.75">
      <c r="B8" s="186" t="s">
        <v>185</v>
      </c>
      <c r="C8" s="187"/>
      <c r="D8" s="187"/>
      <c r="E8" s="187"/>
      <c r="F8" s="187"/>
      <c r="G8" s="187"/>
      <c r="H8" s="188"/>
      <c r="I8" s="157"/>
      <c r="J8" s="157"/>
      <c r="K8" s="157"/>
      <c r="L8" s="157"/>
      <c r="M8" s="157"/>
      <c r="N8" s="179"/>
    </row>
    <row r="9" spans="2:14" ht="15.75">
      <c r="B9" s="189" t="s">
        <v>160</v>
      </c>
      <c r="C9" s="85"/>
      <c r="D9" s="85"/>
      <c r="E9" s="508">
        <v>100</v>
      </c>
      <c r="F9" s="508"/>
      <c r="G9" s="85"/>
      <c r="H9" s="190"/>
      <c r="I9" s="157"/>
      <c r="J9" s="157"/>
      <c r="K9" s="157"/>
      <c r="L9" s="157"/>
      <c r="M9" s="157"/>
      <c r="N9" s="179"/>
    </row>
    <row r="10" spans="2:14" ht="15.75">
      <c r="B10" s="189" t="s">
        <v>161</v>
      </c>
      <c r="C10" s="85"/>
      <c r="D10" s="85"/>
      <c r="E10" s="508">
        <v>4</v>
      </c>
      <c r="F10" s="508"/>
      <c r="G10" s="85"/>
      <c r="H10" s="190"/>
      <c r="I10" s="157"/>
      <c r="J10" s="157"/>
      <c r="K10" s="157"/>
      <c r="L10" s="157"/>
      <c r="M10" s="157"/>
      <c r="N10" s="179"/>
    </row>
    <row r="11" spans="2:14" ht="15.75">
      <c r="B11" s="191" t="s">
        <v>179</v>
      </c>
      <c r="C11" s="192"/>
      <c r="D11" s="192"/>
      <c r="E11" s="192"/>
      <c r="F11" s="193">
        <v>40</v>
      </c>
      <c r="G11" s="192" t="s">
        <v>180</v>
      </c>
      <c r="H11" s="194"/>
      <c r="I11" s="157"/>
      <c r="J11" s="157"/>
      <c r="K11" s="157"/>
      <c r="L11" s="157"/>
      <c r="M11" s="157"/>
      <c r="N11" s="179"/>
    </row>
    <row r="12" spans="2:14" ht="15.75" customHeight="1">
      <c r="B12" s="195" t="s">
        <v>186</v>
      </c>
      <c r="C12" s="196"/>
      <c r="D12" s="196"/>
      <c r="E12" s="197"/>
      <c r="F12" s="196"/>
      <c r="G12" s="196"/>
      <c r="H12" s="198"/>
      <c r="I12" s="157"/>
      <c r="J12" s="199"/>
      <c r="K12" s="504" t="s">
        <v>176</v>
      </c>
      <c r="L12" s="502"/>
      <c r="M12" s="502"/>
      <c r="N12" s="503"/>
    </row>
    <row r="13" spans="2:14" ht="15.75">
      <c r="B13" s="200" t="s">
        <v>160</v>
      </c>
      <c r="C13" s="201"/>
      <c r="D13" s="201"/>
      <c r="E13" s="501">
        <v>100</v>
      </c>
      <c r="F13" s="501"/>
      <c r="G13" s="201"/>
      <c r="H13" s="202"/>
      <c r="I13" s="157"/>
      <c r="J13" s="199"/>
      <c r="K13" s="203">
        <v>35</v>
      </c>
      <c r="L13" s="203">
        <v>40</v>
      </c>
      <c r="M13" s="203">
        <v>45</v>
      </c>
      <c r="N13" s="203">
        <v>50</v>
      </c>
    </row>
    <row r="14" spans="2:14" ht="15.75">
      <c r="B14" s="200" t="s">
        <v>167</v>
      </c>
      <c r="C14" s="201"/>
      <c r="D14" s="201"/>
      <c r="E14" s="510">
        <v>40</v>
      </c>
      <c r="F14" s="510"/>
      <c r="G14" s="201"/>
      <c r="H14" s="202"/>
      <c r="I14" s="157"/>
      <c r="J14" s="204">
        <v>6.5</v>
      </c>
      <c r="K14" s="205">
        <f>$J$14*K13</f>
        <v>227.5</v>
      </c>
      <c r="L14" s="205">
        <f>$J$14*L13</f>
        <v>260</v>
      </c>
      <c r="M14" s="205">
        <f>$J$14*M13</f>
        <v>292.5</v>
      </c>
      <c r="N14" s="205">
        <f>$J$14*N13</f>
        <v>325</v>
      </c>
    </row>
    <row r="15" spans="2:14" ht="15.75">
      <c r="B15" s="200" t="s">
        <v>165</v>
      </c>
      <c r="C15" s="201"/>
      <c r="D15" s="201"/>
      <c r="E15" s="501">
        <v>7</v>
      </c>
      <c r="F15" s="501"/>
      <c r="G15" s="201"/>
      <c r="H15" s="202"/>
      <c r="I15" s="157"/>
      <c r="J15" s="204">
        <v>7</v>
      </c>
      <c r="K15" s="205">
        <f>$J$15*K13</f>
        <v>245</v>
      </c>
      <c r="L15" s="205">
        <f>$J$15*L13</f>
        <v>280</v>
      </c>
      <c r="M15" s="205">
        <f>$J$15*M13</f>
        <v>315</v>
      </c>
      <c r="N15" s="205">
        <f>$J$15*N13</f>
        <v>350</v>
      </c>
    </row>
    <row r="16" spans="2:14" ht="15.75">
      <c r="B16" s="200" t="s">
        <v>166</v>
      </c>
      <c r="C16" s="201"/>
      <c r="D16" s="201"/>
      <c r="E16" s="511">
        <f>E14*E15</f>
        <v>280</v>
      </c>
      <c r="F16" s="511"/>
      <c r="G16" s="201"/>
      <c r="H16" s="202"/>
      <c r="I16" s="157"/>
      <c r="J16" s="204">
        <v>7.5</v>
      </c>
      <c r="K16" s="205">
        <f>$J$16*K13</f>
        <v>262.5</v>
      </c>
      <c r="L16" s="205">
        <f>$J$16*L13</f>
        <v>300</v>
      </c>
      <c r="M16" s="205">
        <f>$J$16*M13</f>
        <v>337.5</v>
      </c>
      <c r="N16" s="205">
        <f>$J$16*N13</f>
        <v>375</v>
      </c>
    </row>
    <row r="17" spans="2:14" ht="15.75">
      <c r="B17" s="200" t="s">
        <v>171</v>
      </c>
      <c r="C17" s="201"/>
      <c r="D17" s="201"/>
      <c r="E17" s="501">
        <v>0.5</v>
      </c>
      <c r="F17" s="501"/>
      <c r="G17" s="201" t="s">
        <v>168</v>
      </c>
      <c r="H17" s="202" t="s">
        <v>169</v>
      </c>
      <c r="I17" s="157"/>
      <c r="J17" s="204">
        <v>8</v>
      </c>
      <c r="K17" s="205">
        <f>$J$17*K13</f>
        <v>280</v>
      </c>
      <c r="L17" s="205">
        <f>$J$17*L13</f>
        <v>320</v>
      </c>
      <c r="M17" s="205">
        <f>$J$17*M13</f>
        <v>360</v>
      </c>
      <c r="N17" s="205">
        <f>$J$17*N13</f>
        <v>400</v>
      </c>
    </row>
    <row r="18" spans="2:14" ht="15.75">
      <c r="B18" s="206" t="s">
        <v>172</v>
      </c>
      <c r="C18" s="207"/>
      <c r="D18" s="207"/>
      <c r="E18" s="509">
        <v>1.5</v>
      </c>
      <c r="F18" s="509"/>
      <c r="G18" s="207" t="s">
        <v>173</v>
      </c>
      <c r="H18" s="208"/>
      <c r="I18" s="209"/>
      <c r="J18" s="204">
        <v>8.5</v>
      </c>
      <c r="K18" s="205">
        <f>$J$18*K13</f>
        <v>297.5</v>
      </c>
      <c r="L18" s="205">
        <f>$J$18*L13</f>
        <v>340</v>
      </c>
      <c r="M18" s="205">
        <f>$J$18*M13</f>
        <v>382.5</v>
      </c>
      <c r="N18" s="205">
        <f>$J$18*N13</f>
        <v>425</v>
      </c>
    </row>
    <row r="19" spans="2:14" ht="15.75">
      <c r="B19" s="210"/>
      <c r="C19" s="210"/>
      <c r="D19" s="210"/>
      <c r="E19" s="211"/>
      <c r="F19" s="211"/>
      <c r="G19" s="210"/>
      <c r="H19" s="210"/>
      <c r="I19" s="212"/>
      <c r="J19" s="213"/>
      <c r="K19" s="214"/>
      <c r="L19" s="214"/>
      <c r="M19" s="214"/>
      <c r="N19" s="214"/>
    </row>
    <row r="20" spans="2:14" ht="15.75">
      <c r="B20" s="215" t="s">
        <v>181</v>
      </c>
      <c r="C20" s="215"/>
      <c r="D20" s="216" t="s">
        <v>34</v>
      </c>
      <c r="E20" s="217"/>
      <c r="F20" s="218"/>
      <c r="G20" s="215"/>
      <c r="H20" s="216" t="s">
        <v>35</v>
      </c>
      <c r="I20" s="216"/>
      <c r="J20" s="219"/>
      <c r="K20" s="220"/>
      <c r="L20" s="221" t="s">
        <v>38</v>
      </c>
      <c r="M20" s="221"/>
      <c r="N20" s="219"/>
    </row>
    <row r="21" spans="2:14" ht="19.5" customHeight="1">
      <c r="B21" s="222"/>
      <c r="C21" s="514" t="s">
        <v>174</v>
      </c>
      <c r="D21" s="515"/>
      <c r="E21" s="515"/>
      <c r="F21" s="516"/>
      <c r="G21" s="514" t="s">
        <v>175</v>
      </c>
      <c r="H21" s="515"/>
      <c r="I21" s="515"/>
      <c r="J21" s="516"/>
      <c r="K21" s="512" t="s">
        <v>164</v>
      </c>
      <c r="L21" s="506"/>
      <c r="M21" s="506"/>
      <c r="N21" s="513"/>
    </row>
    <row r="22" spans="2:14" ht="18.75" customHeight="1">
      <c r="B22" s="222" t="s">
        <v>183</v>
      </c>
      <c r="C22" s="517" t="s">
        <v>182</v>
      </c>
      <c r="D22" s="518"/>
      <c r="E22" s="518"/>
      <c r="F22" s="519"/>
      <c r="G22" s="517" t="s">
        <v>182</v>
      </c>
      <c r="H22" s="518"/>
      <c r="I22" s="518"/>
      <c r="J22" s="519"/>
      <c r="K22" s="517" t="s">
        <v>182</v>
      </c>
      <c r="L22" s="518"/>
      <c r="M22" s="518"/>
      <c r="N22" s="519"/>
    </row>
    <row r="23" spans="2:14" ht="15.75">
      <c r="B23" s="223"/>
      <c r="C23" s="224">
        <v>35</v>
      </c>
      <c r="D23" s="225">
        <v>40</v>
      </c>
      <c r="E23" s="225">
        <v>45</v>
      </c>
      <c r="F23" s="226">
        <v>50</v>
      </c>
      <c r="G23" s="224">
        <v>35</v>
      </c>
      <c r="H23" s="225">
        <v>40</v>
      </c>
      <c r="I23" s="225">
        <v>45</v>
      </c>
      <c r="J23" s="227">
        <v>50</v>
      </c>
      <c r="K23" s="224">
        <v>35</v>
      </c>
      <c r="L23" s="225">
        <v>40</v>
      </c>
      <c r="M23" s="225">
        <v>45</v>
      </c>
      <c r="N23" s="226">
        <v>50</v>
      </c>
    </row>
    <row r="24" spans="2:14" ht="15.75">
      <c r="B24" s="228">
        <v>6.5</v>
      </c>
      <c r="C24" s="229">
        <f>$E$4+((($B$24-$E$7)/$E$6)*$E$5)</f>
        <v>83.75</v>
      </c>
      <c r="D24" s="230">
        <f>$E$4+((($B$24-$E$7)/$E$6)*$E$5)</f>
        <v>83.75</v>
      </c>
      <c r="E24" s="230">
        <f>$E$4+((($B$24-$E$7)/$E$6)*$E$5)</f>
        <v>83.75</v>
      </c>
      <c r="F24" s="231">
        <f>$E$4+((($B$24-$E$7)/$E$6)*$E$5)</f>
        <v>83.75</v>
      </c>
      <c r="G24" s="232">
        <f>$E$9+(($G$23-$F$11)*$E$10)</f>
        <v>80</v>
      </c>
      <c r="H24" s="232">
        <f>$E$9+(($H$23-$F$11)*$E$10)</f>
        <v>100</v>
      </c>
      <c r="I24" s="232">
        <f>$E$9+(($I$23-$F$11)*$E$10)</f>
        <v>120</v>
      </c>
      <c r="J24" s="232">
        <f>$E$9+(($J$23-$F$11)*$E$10)</f>
        <v>140</v>
      </c>
      <c r="K24" s="233">
        <f>$E$13+(((K23*$B$24)-$E$16)/$E$18*$E$17)</f>
        <v>82.5</v>
      </c>
      <c r="L24" s="234">
        <f>$E$13+(((L23*$B$24)-$E$16)/$E$18*$E$17)</f>
        <v>93.33333333333333</v>
      </c>
      <c r="M24" s="234">
        <f>$E$13+(((M23*$B$24)-$E$16)/$E$18*$E$17)</f>
        <v>104.16666666666667</v>
      </c>
      <c r="N24" s="235">
        <f>$E$13+(((N23*$B$24)-$E$16)/$E$18*$E$17)</f>
        <v>115</v>
      </c>
    </row>
    <row r="25" spans="2:14" ht="15.75">
      <c r="B25" s="228">
        <v>7</v>
      </c>
      <c r="C25" s="229">
        <f>$E$4+((($B$25-$E$7)/$E$6)*$E$5)</f>
        <v>100</v>
      </c>
      <c r="D25" s="230">
        <f>$E$4+((($B$25-$E$7)/$E$6)*$E$5)</f>
        <v>100</v>
      </c>
      <c r="E25" s="230">
        <f>$E$4+((($B$25-$E$7)/$E$6)*$E$5)</f>
        <v>100</v>
      </c>
      <c r="F25" s="231">
        <f>$E$4+((($B$25-$E$7)/$E$6)*$E$5)</f>
        <v>100</v>
      </c>
      <c r="G25" s="232">
        <f>$E$9+(($G$23-$F$11)*$E$10)</f>
        <v>80</v>
      </c>
      <c r="H25" s="232">
        <f>$E$9+(($H$23-$F$11)*$E$10)</f>
        <v>100</v>
      </c>
      <c r="I25" s="232">
        <f>$E$9+(($I$23-$F$11)*$E$10)</f>
        <v>120</v>
      </c>
      <c r="J25" s="232">
        <f>$E$9+(($J$23-$F$11)*$E$10)</f>
        <v>140</v>
      </c>
      <c r="K25" s="233">
        <f>$E$13+(((K23*$B$25)-$E$16)/$E$18*$E$17)</f>
        <v>88.33333333333333</v>
      </c>
      <c r="L25" s="234">
        <f>$E$13+(((L23*$B$25)-$E$16)/$E$18*$E$17)</f>
        <v>100</v>
      </c>
      <c r="M25" s="234">
        <f>$E$13+(((M23*$B$25)-$E$16)/$E$18*$E$17)</f>
        <v>111.66666666666667</v>
      </c>
      <c r="N25" s="235">
        <f>$E$13+(((N23*$B$25)-$E$16)/$E$18*$E$17)</f>
        <v>123.33333333333333</v>
      </c>
    </row>
    <row r="26" spans="2:14" ht="15.75">
      <c r="B26" s="228">
        <v>7.5</v>
      </c>
      <c r="C26" s="229">
        <f>$E$4+((($B$26-$E$7)/$E$6)*$E$5)</f>
        <v>116.25</v>
      </c>
      <c r="D26" s="230">
        <f>$E$4+((($B$26-$E$7)/$E$6)*$E$5)</f>
        <v>116.25</v>
      </c>
      <c r="E26" s="230">
        <f>$E$4+((($B$26-$E$7)/$E$6)*$E$5)</f>
        <v>116.25</v>
      </c>
      <c r="F26" s="231">
        <f>$E$4+((($B$26-$E$7)/$E$6)*$E$5)</f>
        <v>116.25</v>
      </c>
      <c r="G26" s="232">
        <f>$E$9+(($G$23-$F$11)*$E$10)</f>
        <v>80</v>
      </c>
      <c r="H26" s="232">
        <f>$E$9+(($H$23-$F$11)*$E$10)</f>
        <v>100</v>
      </c>
      <c r="I26" s="232">
        <f>$E$9+(($I$23-$F$11)*$E$10)</f>
        <v>120</v>
      </c>
      <c r="J26" s="232">
        <f>$E$9+(($J$23-$F$11)*$E$10)</f>
        <v>140</v>
      </c>
      <c r="K26" s="233">
        <f>$E$13+(((K23*$B$26)-$E$16)/$E$18*$E$17)</f>
        <v>94.16666666666667</v>
      </c>
      <c r="L26" s="234">
        <f>$E$13+(((L23*$B$26)-$E$16)/$E$18*$E$17)</f>
        <v>106.66666666666667</v>
      </c>
      <c r="M26" s="234">
        <f>$E$13+(((M23*$B$26)-$E$16)/$E$18*$E$17)</f>
        <v>119.16666666666667</v>
      </c>
      <c r="N26" s="235">
        <f>$E$13+(((N23*$B$26)-$E$16)/$E$18*$E$17)</f>
        <v>131.66666666666666</v>
      </c>
    </row>
    <row r="27" spans="2:14" ht="15.75">
      <c r="B27" s="228">
        <v>8</v>
      </c>
      <c r="C27" s="229">
        <f>$E$4+((($B$27-$E$7)/$E$6)*$E$5)</f>
        <v>132.5</v>
      </c>
      <c r="D27" s="230">
        <f>$E$4+((($B$27-$E$7)/$E$6)*$E$5)</f>
        <v>132.5</v>
      </c>
      <c r="E27" s="230">
        <f>$E$4+((($B$27-$E$7)/$E$6)*$E$5)</f>
        <v>132.5</v>
      </c>
      <c r="F27" s="231">
        <f>$E$4+((($B$27-$E$7)/$E$6)*$E$5)</f>
        <v>132.5</v>
      </c>
      <c r="G27" s="232">
        <f>$E$9+(($G$23-$F$11)*$E$10)</f>
        <v>80</v>
      </c>
      <c r="H27" s="232">
        <f>$E$9+(($H$23-$F$11)*$E$10)</f>
        <v>100</v>
      </c>
      <c r="I27" s="232">
        <f>$E$9+(($I$23-$F$11)*$E$10)</f>
        <v>120</v>
      </c>
      <c r="J27" s="232">
        <f>$E$9+(($J$23-$F$11)*$E$10)</f>
        <v>140</v>
      </c>
      <c r="K27" s="233">
        <f>$E$13+(((K23*$B$27)-$E$16)/$E$18*$E$17)</f>
        <v>100</v>
      </c>
      <c r="L27" s="234">
        <f>$E$13+(((L23*$B$27)-$E$16)/$E$18*$E$17)</f>
        <v>113.33333333333333</v>
      </c>
      <c r="M27" s="234">
        <f>$E$13+(((M23*$B$27)-$E$16)/$E$18*$E$17)</f>
        <v>126.66666666666667</v>
      </c>
      <c r="N27" s="235">
        <f>$E$13+(((N23*$B$27)-$E$16)/$E$18*$E$17)</f>
        <v>140</v>
      </c>
    </row>
    <row r="28" spans="2:14" ht="16.5" thickBot="1">
      <c r="B28" s="236">
        <v>8.5</v>
      </c>
      <c r="C28" s="237">
        <f>$E$4+((($B$28-$E$7)/$E$6)*$E$5)</f>
        <v>148.75</v>
      </c>
      <c r="D28" s="238">
        <f>$E$4+((($B$28-$E$7)/$E$6)*$E$5)</f>
        <v>148.75</v>
      </c>
      <c r="E28" s="238">
        <f>$E$4+((($B$28-$E$7)/$E$6)*$E$5)</f>
        <v>148.75</v>
      </c>
      <c r="F28" s="239">
        <f>$E$4+((($B$28-$E$7)/$E$6)*$E$5)</f>
        <v>148.75</v>
      </c>
      <c r="G28" s="232">
        <f>$E$9+(($G$23-$F$11)*$E$10)</f>
        <v>80</v>
      </c>
      <c r="H28" s="232">
        <f>$E$9+(($H$23-$F$11)*$E$10)</f>
        <v>100</v>
      </c>
      <c r="I28" s="232">
        <f>$E$9+(($I$23-$F$11)*$E$10)</f>
        <v>120</v>
      </c>
      <c r="J28" s="232">
        <f>$E$9+(($J$23-$F$11)*$E$10)</f>
        <v>140</v>
      </c>
      <c r="K28" s="240">
        <f>$E$13+(((K23*$B$28)-$E$16)/$E$18*$E$17)</f>
        <v>105.83333333333333</v>
      </c>
      <c r="L28" s="241">
        <f>$E$13+(((L23*$B$28)-$E$16)/$E$18*$E$17)</f>
        <v>120</v>
      </c>
      <c r="M28" s="241">
        <f>$E$13+(((M23*$B$28)-$E$16)/$E$18*$E$17)</f>
        <v>134.16666666666666</v>
      </c>
      <c r="N28" s="242">
        <f>$E$13+(((N23*$B$28)-$E$16)/$E$18*$E$17)</f>
        <v>148.33333333333334</v>
      </c>
    </row>
    <row r="29" spans="2:14" ht="15.7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2:14" ht="15.75">
      <c r="B30" s="243" t="s">
        <v>177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2:14" ht="15.75" customHeight="1">
      <c r="B31" s="122"/>
      <c r="C31" s="505" t="s">
        <v>174</v>
      </c>
      <c r="D31" s="506"/>
      <c r="E31" s="506"/>
      <c r="F31" s="507"/>
      <c r="G31" s="505" t="s">
        <v>175</v>
      </c>
      <c r="H31" s="506"/>
      <c r="I31" s="506"/>
      <c r="J31" s="507"/>
      <c r="K31" s="505" t="s">
        <v>164</v>
      </c>
      <c r="L31" s="506"/>
      <c r="M31" s="506"/>
      <c r="N31" s="507"/>
    </row>
    <row r="32" spans="2:14" ht="15.75">
      <c r="B32" s="122"/>
      <c r="C32" s="225">
        <v>35</v>
      </c>
      <c r="D32" s="225">
        <v>40</v>
      </c>
      <c r="E32" s="225">
        <v>45</v>
      </c>
      <c r="F32" s="225">
        <v>50</v>
      </c>
      <c r="G32" s="225">
        <v>35</v>
      </c>
      <c r="H32" s="225">
        <v>40</v>
      </c>
      <c r="I32" s="225">
        <v>45</v>
      </c>
      <c r="J32" s="225">
        <v>50</v>
      </c>
      <c r="K32" s="225">
        <v>35</v>
      </c>
      <c r="L32" s="225">
        <v>40</v>
      </c>
      <c r="M32" s="225">
        <v>45</v>
      </c>
      <c r="N32" s="225">
        <v>50</v>
      </c>
    </row>
    <row r="33" spans="2:14" ht="15.75">
      <c r="B33" s="244">
        <v>6.5</v>
      </c>
      <c r="C33" s="245">
        <f aca="true" t="shared" si="0" ref="C33:F37">K14-C24</f>
        <v>143.75</v>
      </c>
      <c r="D33" s="245">
        <f t="shared" si="0"/>
        <v>176.25</v>
      </c>
      <c r="E33" s="245">
        <f t="shared" si="0"/>
        <v>208.75</v>
      </c>
      <c r="F33" s="245">
        <f t="shared" si="0"/>
        <v>241.25</v>
      </c>
      <c r="G33" s="246">
        <f aca="true" t="shared" si="1" ref="G33:J37">K14-G24</f>
        <v>147.5</v>
      </c>
      <c r="H33" s="246">
        <f t="shared" si="1"/>
        <v>160</v>
      </c>
      <c r="I33" s="246">
        <f t="shared" si="1"/>
        <v>172.5</v>
      </c>
      <c r="J33" s="246">
        <f t="shared" si="1"/>
        <v>185</v>
      </c>
      <c r="K33" s="247">
        <f aca="true" t="shared" si="2" ref="K33:N37">K14-K24</f>
        <v>145</v>
      </c>
      <c r="L33" s="247">
        <f t="shared" si="2"/>
        <v>166.66666666666669</v>
      </c>
      <c r="M33" s="247">
        <f t="shared" si="2"/>
        <v>188.33333333333331</v>
      </c>
      <c r="N33" s="247">
        <f t="shared" si="2"/>
        <v>210</v>
      </c>
    </row>
    <row r="34" spans="2:14" ht="15.75">
      <c r="B34" s="244">
        <v>7</v>
      </c>
      <c r="C34" s="245">
        <f t="shared" si="0"/>
        <v>145</v>
      </c>
      <c r="D34" s="245">
        <f t="shared" si="0"/>
        <v>180</v>
      </c>
      <c r="E34" s="245">
        <f t="shared" si="0"/>
        <v>215</v>
      </c>
      <c r="F34" s="245">
        <f t="shared" si="0"/>
        <v>250</v>
      </c>
      <c r="G34" s="246">
        <f t="shared" si="1"/>
        <v>165</v>
      </c>
      <c r="H34" s="246">
        <f t="shared" si="1"/>
        <v>180</v>
      </c>
      <c r="I34" s="246">
        <f t="shared" si="1"/>
        <v>195</v>
      </c>
      <c r="J34" s="246">
        <f t="shared" si="1"/>
        <v>210</v>
      </c>
      <c r="K34" s="247">
        <f t="shared" si="2"/>
        <v>156.66666666666669</v>
      </c>
      <c r="L34" s="247">
        <f t="shared" si="2"/>
        <v>180</v>
      </c>
      <c r="M34" s="247">
        <f t="shared" si="2"/>
        <v>203.33333333333331</v>
      </c>
      <c r="N34" s="247">
        <f t="shared" si="2"/>
        <v>226.66666666666669</v>
      </c>
    </row>
    <row r="35" spans="2:14" ht="15.75">
      <c r="B35" s="244">
        <v>7.5</v>
      </c>
      <c r="C35" s="245">
        <f t="shared" si="0"/>
        <v>146.25</v>
      </c>
      <c r="D35" s="245">
        <f t="shared" si="0"/>
        <v>183.75</v>
      </c>
      <c r="E35" s="245">
        <f t="shared" si="0"/>
        <v>221.25</v>
      </c>
      <c r="F35" s="245">
        <f t="shared" si="0"/>
        <v>258.75</v>
      </c>
      <c r="G35" s="246">
        <f t="shared" si="1"/>
        <v>182.5</v>
      </c>
      <c r="H35" s="246">
        <f t="shared" si="1"/>
        <v>200</v>
      </c>
      <c r="I35" s="246">
        <f t="shared" si="1"/>
        <v>217.5</v>
      </c>
      <c r="J35" s="246">
        <f t="shared" si="1"/>
        <v>235</v>
      </c>
      <c r="K35" s="247">
        <f t="shared" si="2"/>
        <v>168.33333333333331</v>
      </c>
      <c r="L35" s="247">
        <f t="shared" si="2"/>
        <v>193.33333333333331</v>
      </c>
      <c r="M35" s="247">
        <f t="shared" si="2"/>
        <v>218.33333333333331</v>
      </c>
      <c r="N35" s="247">
        <f t="shared" si="2"/>
        <v>243.33333333333334</v>
      </c>
    </row>
    <row r="36" spans="2:14" ht="15.75">
      <c r="B36" s="244">
        <v>8</v>
      </c>
      <c r="C36" s="245">
        <f t="shared" si="0"/>
        <v>147.5</v>
      </c>
      <c r="D36" s="245">
        <f t="shared" si="0"/>
        <v>187.5</v>
      </c>
      <c r="E36" s="245">
        <f t="shared" si="0"/>
        <v>227.5</v>
      </c>
      <c r="F36" s="245">
        <f t="shared" si="0"/>
        <v>267.5</v>
      </c>
      <c r="G36" s="246">
        <f t="shared" si="1"/>
        <v>200</v>
      </c>
      <c r="H36" s="246">
        <f t="shared" si="1"/>
        <v>220</v>
      </c>
      <c r="I36" s="246">
        <f t="shared" si="1"/>
        <v>240</v>
      </c>
      <c r="J36" s="246">
        <f t="shared" si="1"/>
        <v>260</v>
      </c>
      <c r="K36" s="247">
        <f t="shared" si="2"/>
        <v>180</v>
      </c>
      <c r="L36" s="247">
        <f t="shared" si="2"/>
        <v>206.66666666666669</v>
      </c>
      <c r="M36" s="247">
        <f t="shared" si="2"/>
        <v>233.33333333333331</v>
      </c>
      <c r="N36" s="247">
        <f t="shared" si="2"/>
        <v>260</v>
      </c>
    </row>
    <row r="37" spans="2:14" ht="15.75">
      <c r="B37" s="244">
        <v>8.5</v>
      </c>
      <c r="C37" s="245">
        <f t="shared" si="0"/>
        <v>148.75</v>
      </c>
      <c r="D37" s="245">
        <f t="shared" si="0"/>
        <v>191.25</v>
      </c>
      <c r="E37" s="245">
        <f t="shared" si="0"/>
        <v>233.75</v>
      </c>
      <c r="F37" s="248">
        <f t="shared" si="0"/>
        <v>276.25</v>
      </c>
      <c r="G37" s="246">
        <f t="shared" si="1"/>
        <v>217.5</v>
      </c>
      <c r="H37" s="246">
        <f t="shared" si="1"/>
        <v>240</v>
      </c>
      <c r="I37" s="246">
        <f t="shared" si="1"/>
        <v>262.5</v>
      </c>
      <c r="J37" s="249">
        <f t="shared" si="1"/>
        <v>285</v>
      </c>
      <c r="K37" s="247">
        <f t="shared" si="2"/>
        <v>191.66666666666669</v>
      </c>
      <c r="L37" s="247">
        <f t="shared" si="2"/>
        <v>220</v>
      </c>
      <c r="M37" s="247">
        <f t="shared" si="2"/>
        <v>248.33333333333334</v>
      </c>
      <c r="N37" s="250">
        <f t="shared" si="2"/>
        <v>276.66666666666663</v>
      </c>
    </row>
    <row r="38" spans="2:14" ht="15.7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2:14" ht="15.75">
      <c r="B39" s="243" t="s">
        <v>178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2:14" ht="15.75" customHeight="1">
      <c r="B40" s="122"/>
      <c r="C40" s="505" t="s">
        <v>174</v>
      </c>
      <c r="D40" s="506"/>
      <c r="E40" s="506"/>
      <c r="F40" s="507"/>
      <c r="G40" s="505" t="s">
        <v>175</v>
      </c>
      <c r="H40" s="506"/>
      <c r="I40" s="506"/>
      <c r="J40" s="507"/>
      <c r="K40" s="505" t="s">
        <v>164</v>
      </c>
      <c r="L40" s="506"/>
      <c r="M40" s="506"/>
      <c r="N40" s="507"/>
    </row>
    <row r="41" spans="2:14" ht="15.75">
      <c r="B41" s="122"/>
      <c r="C41" s="225">
        <v>35</v>
      </c>
      <c r="D41" s="225">
        <v>40</v>
      </c>
      <c r="E41" s="225">
        <v>45</v>
      </c>
      <c r="F41" s="225">
        <v>50</v>
      </c>
      <c r="G41" s="225">
        <v>35</v>
      </c>
      <c r="H41" s="225">
        <v>40</v>
      </c>
      <c r="I41" s="225">
        <v>45</v>
      </c>
      <c r="J41" s="225">
        <v>50</v>
      </c>
      <c r="K41" s="225">
        <v>35</v>
      </c>
      <c r="L41" s="225">
        <v>40</v>
      </c>
      <c r="M41" s="225">
        <v>45</v>
      </c>
      <c r="N41" s="225">
        <v>50</v>
      </c>
    </row>
    <row r="42" spans="2:14" ht="15.75">
      <c r="B42" s="244">
        <v>6.5</v>
      </c>
      <c r="C42" s="251">
        <f aca="true" t="shared" si="3" ref="C42:F46">(K14-C24)/K14</f>
        <v>0.6318681318681318</v>
      </c>
      <c r="D42" s="251">
        <f t="shared" si="3"/>
        <v>0.6778846153846154</v>
      </c>
      <c r="E42" s="251">
        <f t="shared" si="3"/>
        <v>0.7136752136752137</v>
      </c>
      <c r="F42" s="251">
        <f t="shared" si="3"/>
        <v>0.7423076923076923</v>
      </c>
      <c r="G42" s="252">
        <f aca="true" t="shared" si="4" ref="G42:J46">(K14-G24)/K14</f>
        <v>0.6483516483516484</v>
      </c>
      <c r="H42" s="252">
        <f t="shared" si="4"/>
        <v>0.6153846153846154</v>
      </c>
      <c r="I42" s="252">
        <f t="shared" si="4"/>
        <v>0.5897435897435898</v>
      </c>
      <c r="J42" s="252">
        <f t="shared" si="4"/>
        <v>0.5692307692307692</v>
      </c>
      <c r="K42" s="253">
        <f aca="true" t="shared" si="5" ref="K42:N46">(K14-K24)/K14</f>
        <v>0.6373626373626373</v>
      </c>
      <c r="L42" s="253">
        <f t="shared" si="5"/>
        <v>0.6410256410256411</v>
      </c>
      <c r="M42" s="253">
        <f t="shared" si="5"/>
        <v>0.6438746438746438</v>
      </c>
      <c r="N42" s="253">
        <f t="shared" si="5"/>
        <v>0.6461538461538462</v>
      </c>
    </row>
    <row r="43" spans="2:14" ht="15.75">
      <c r="B43" s="244">
        <v>7</v>
      </c>
      <c r="C43" s="251">
        <f t="shared" si="3"/>
        <v>0.5918367346938775</v>
      </c>
      <c r="D43" s="251">
        <f t="shared" si="3"/>
        <v>0.6428571428571429</v>
      </c>
      <c r="E43" s="251">
        <f t="shared" si="3"/>
        <v>0.6825396825396826</v>
      </c>
      <c r="F43" s="251">
        <f t="shared" si="3"/>
        <v>0.7142857142857143</v>
      </c>
      <c r="G43" s="252">
        <f t="shared" si="4"/>
        <v>0.673469387755102</v>
      </c>
      <c r="H43" s="252">
        <f t="shared" si="4"/>
        <v>0.6428571428571429</v>
      </c>
      <c r="I43" s="252">
        <f t="shared" si="4"/>
        <v>0.6190476190476191</v>
      </c>
      <c r="J43" s="252">
        <f t="shared" si="4"/>
        <v>0.6</v>
      </c>
      <c r="K43" s="253">
        <f t="shared" si="5"/>
        <v>0.6394557823129252</v>
      </c>
      <c r="L43" s="253">
        <f t="shared" si="5"/>
        <v>0.6428571428571429</v>
      </c>
      <c r="M43" s="253">
        <f t="shared" si="5"/>
        <v>0.6455026455026455</v>
      </c>
      <c r="N43" s="253">
        <f t="shared" si="5"/>
        <v>0.6476190476190476</v>
      </c>
    </row>
    <row r="44" spans="2:14" ht="15.75">
      <c r="B44" s="244">
        <v>7.5</v>
      </c>
      <c r="C44" s="251">
        <f t="shared" si="3"/>
        <v>0.5571428571428572</v>
      </c>
      <c r="D44" s="251">
        <f t="shared" si="3"/>
        <v>0.6125</v>
      </c>
      <c r="E44" s="251">
        <f t="shared" si="3"/>
        <v>0.6555555555555556</v>
      </c>
      <c r="F44" s="251">
        <f t="shared" si="3"/>
        <v>0.69</v>
      </c>
      <c r="G44" s="252">
        <f t="shared" si="4"/>
        <v>0.6952380952380952</v>
      </c>
      <c r="H44" s="252">
        <f t="shared" si="4"/>
        <v>0.6666666666666666</v>
      </c>
      <c r="I44" s="252">
        <f t="shared" si="4"/>
        <v>0.6444444444444445</v>
      </c>
      <c r="J44" s="252">
        <f t="shared" si="4"/>
        <v>0.6266666666666667</v>
      </c>
      <c r="K44" s="253">
        <f t="shared" si="5"/>
        <v>0.6412698412698412</v>
      </c>
      <c r="L44" s="253">
        <f t="shared" si="5"/>
        <v>0.6444444444444444</v>
      </c>
      <c r="M44" s="253">
        <f t="shared" si="5"/>
        <v>0.6469135802469135</v>
      </c>
      <c r="N44" s="253">
        <f t="shared" si="5"/>
        <v>0.648888888888889</v>
      </c>
    </row>
    <row r="45" spans="2:14" ht="15.75">
      <c r="B45" s="244">
        <v>8</v>
      </c>
      <c r="C45" s="251">
        <f t="shared" si="3"/>
        <v>0.5267857142857143</v>
      </c>
      <c r="D45" s="251">
        <f t="shared" si="3"/>
        <v>0.5859375</v>
      </c>
      <c r="E45" s="251">
        <f t="shared" si="3"/>
        <v>0.6319444444444444</v>
      </c>
      <c r="F45" s="251">
        <f t="shared" si="3"/>
        <v>0.66875</v>
      </c>
      <c r="G45" s="252">
        <f t="shared" si="4"/>
        <v>0.7142857142857143</v>
      </c>
      <c r="H45" s="252">
        <f t="shared" si="4"/>
        <v>0.6875</v>
      </c>
      <c r="I45" s="252">
        <f t="shared" si="4"/>
        <v>0.6666666666666666</v>
      </c>
      <c r="J45" s="252">
        <f t="shared" si="4"/>
        <v>0.65</v>
      </c>
      <c r="K45" s="253">
        <f t="shared" si="5"/>
        <v>0.6428571428571429</v>
      </c>
      <c r="L45" s="253">
        <f t="shared" si="5"/>
        <v>0.6458333333333334</v>
      </c>
      <c r="M45" s="253">
        <f t="shared" si="5"/>
        <v>0.6481481481481481</v>
      </c>
      <c r="N45" s="253">
        <f t="shared" si="5"/>
        <v>0.65</v>
      </c>
    </row>
    <row r="46" spans="2:14" ht="15.75">
      <c r="B46" s="244">
        <v>8.5</v>
      </c>
      <c r="C46" s="251">
        <f t="shared" si="3"/>
        <v>0.5</v>
      </c>
      <c r="D46" s="251">
        <f t="shared" si="3"/>
        <v>0.5625</v>
      </c>
      <c r="E46" s="251">
        <f t="shared" si="3"/>
        <v>0.6111111111111112</v>
      </c>
      <c r="F46" s="251">
        <f t="shared" si="3"/>
        <v>0.65</v>
      </c>
      <c r="G46" s="252">
        <f t="shared" si="4"/>
        <v>0.7310924369747899</v>
      </c>
      <c r="H46" s="252">
        <f t="shared" si="4"/>
        <v>0.7058823529411765</v>
      </c>
      <c r="I46" s="252">
        <f t="shared" si="4"/>
        <v>0.6862745098039216</v>
      </c>
      <c r="J46" s="252">
        <f t="shared" si="4"/>
        <v>0.6705882352941176</v>
      </c>
      <c r="K46" s="253">
        <f t="shared" si="5"/>
        <v>0.6442577030812325</v>
      </c>
      <c r="L46" s="253">
        <f t="shared" si="5"/>
        <v>0.6470588235294118</v>
      </c>
      <c r="M46" s="253">
        <f t="shared" si="5"/>
        <v>0.6492374727668846</v>
      </c>
      <c r="N46" s="253">
        <f t="shared" si="5"/>
        <v>0.6509803921568627</v>
      </c>
    </row>
    <row r="47" spans="2:14" ht="12.7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1"/>
  <sheetViews>
    <sheetView zoomScale="80" zoomScaleNormal="80" zoomScalePageLayoutView="0" workbookViewId="0" topLeftCell="A1">
      <selection activeCell="A1" sqref="A1"/>
    </sheetView>
  </sheetViews>
  <sheetFormatPr defaultColWidth="8.75390625" defaultRowHeight="15"/>
  <cols>
    <col min="1" max="1" width="2.75390625" style="1" customWidth="1"/>
    <col min="2" max="2" width="10.375" style="1" customWidth="1"/>
    <col min="3" max="3" width="10.50390625" style="1" customWidth="1"/>
    <col min="4" max="4" width="11.375" style="2" customWidth="1"/>
    <col min="5" max="5" width="11.875" style="1" customWidth="1"/>
    <col min="6" max="6" width="10.50390625" style="1" customWidth="1"/>
    <col min="7" max="7" width="11.375" style="2" customWidth="1"/>
    <col min="8" max="8" width="10.875" style="1" customWidth="1"/>
    <col min="9" max="9" width="9.875" style="1" customWidth="1"/>
    <col min="10" max="10" width="21.25390625" style="1" customWidth="1"/>
    <col min="11" max="16384" width="8.75390625" style="1" customWidth="1"/>
  </cols>
  <sheetData>
    <row r="1" ht="8.25" customHeight="1"/>
    <row r="2" spans="2:10" ht="25.5">
      <c r="B2" s="174" t="s">
        <v>240</v>
      </c>
      <c r="C2" s="66"/>
      <c r="D2" s="66"/>
      <c r="E2" s="66"/>
      <c r="F2" s="66"/>
      <c r="G2" s="66"/>
      <c r="H2" s="66"/>
      <c r="I2" s="66"/>
      <c r="J2" s="66"/>
    </row>
    <row r="3" spans="2:10" ht="15">
      <c r="B3" s="254"/>
      <c r="C3" s="255"/>
      <c r="D3" s="256"/>
      <c r="E3" s="255"/>
      <c r="F3" s="255"/>
      <c r="G3" s="256"/>
      <c r="H3" s="255"/>
      <c r="I3" s="255"/>
      <c r="J3" s="257"/>
    </row>
    <row r="4" spans="2:10" ht="15.75">
      <c r="B4" s="254" t="s">
        <v>224</v>
      </c>
      <c r="C4" s="255"/>
      <c r="D4" s="258">
        <v>3.32</v>
      </c>
      <c r="E4" s="255" t="s">
        <v>8</v>
      </c>
      <c r="F4" s="255"/>
      <c r="G4" s="256"/>
      <c r="H4" s="255"/>
      <c r="I4" s="255"/>
      <c r="J4" s="257"/>
    </row>
    <row r="5" spans="2:10" ht="15.75">
      <c r="B5" s="254" t="s">
        <v>0</v>
      </c>
      <c r="C5" s="255"/>
      <c r="D5" s="258">
        <v>300</v>
      </c>
      <c r="E5" s="255" t="s">
        <v>7</v>
      </c>
      <c r="F5" s="255"/>
      <c r="G5" s="256"/>
      <c r="H5" s="255"/>
      <c r="I5" s="255"/>
      <c r="J5" s="257"/>
    </row>
    <row r="6" spans="2:10" ht="15.75">
      <c r="B6" s="254" t="s">
        <v>226</v>
      </c>
      <c r="C6" s="255"/>
      <c r="D6" s="259">
        <v>120</v>
      </c>
      <c r="E6" s="255" t="s">
        <v>7</v>
      </c>
      <c r="F6" s="255"/>
      <c r="G6" s="256"/>
      <c r="H6" s="255"/>
      <c r="I6" s="255"/>
      <c r="J6" s="257"/>
    </row>
    <row r="7" spans="2:10" ht="15.75">
      <c r="B7" s="254" t="s">
        <v>230</v>
      </c>
      <c r="C7" s="255"/>
      <c r="D7" s="260">
        <v>0.16</v>
      </c>
      <c r="E7" s="255"/>
      <c r="F7" s="255"/>
      <c r="G7" s="256"/>
      <c r="H7" s="255"/>
      <c r="I7" s="255"/>
      <c r="J7" s="257"/>
    </row>
    <row r="8" spans="2:10" ht="15.75">
      <c r="B8" s="261" t="s">
        <v>232</v>
      </c>
      <c r="C8" s="262"/>
      <c r="D8" s="263">
        <v>100</v>
      </c>
      <c r="E8" s="262" t="s">
        <v>233</v>
      </c>
      <c r="F8" s="255"/>
      <c r="G8" s="256"/>
      <c r="H8" s="255"/>
      <c r="I8" s="255"/>
      <c r="J8" s="264"/>
    </row>
    <row r="9" spans="2:10" ht="15.75">
      <c r="B9" s="265"/>
      <c r="C9" s="58"/>
      <c r="D9" s="266" t="s">
        <v>1</v>
      </c>
      <c r="E9" s="267"/>
      <c r="F9" s="58"/>
      <c r="G9" s="266" t="s">
        <v>2</v>
      </c>
      <c r="H9" s="267"/>
      <c r="I9" s="268"/>
      <c r="J9" s="269"/>
    </row>
    <row r="10" spans="2:10" ht="48" thickBot="1">
      <c r="B10" s="270" t="s">
        <v>234</v>
      </c>
      <c r="C10" s="271" t="s">
        <v>228</v>
      </c>
      <c r="D10" s="272" t="s">
        <v>227</v>
      </c>
      <c r="E10" s="271" t="s">
        <v>229</v>
      </c>
      <c r="F10" s="273" t="s">
        <v>228</v>
      </c>
      <c r="G10" s="274" t="s">
        <v>227</v>
      </c>
      <c r="H10" s="273" t="s">
        <v>229</v>
      </c>
      <c r="I10" s="273" t="s">
        <v>3</v>
      </c>
      <c r="J10" s="275" t="s">
        <v>231</v>
      </c>
    </row>
    <row r="11" spans="2:10" ht="15.75">
      <c r="B11" s="276">
        <f>D8</f>
        <v>100</v>
      </c>
      <c r="C11" s="277">
        <f>D7</f>
        <v>0.16</v>
      </c>
      <c r="D11" s="278">
        <f>+B11*C11</f>
        <v>16</v>
      </c>
      <c r="E11" s="279">
        <f aca="true" t="shared" si="0" ref="E11:E27">+D11*$D$4</f>
        <v>53.12</v>
      </c>
      <c r="F11" s="280">
        <f>1-C11</f>
        <v>0.84</v>
      </c>
      <c r="G11" s="281">
        <f aca="true" t="shared" si="1" ref="G11:G27">+B11*F11</f>
        <v>84</v>
      </c>
      <c r="H11" s="282">
        <f aca="true" t="shared" si="2" ref="H11:H27">+G11*$D$4</f>
        <v>278.88</v>
      </c>
      <c r="I11" s="283">
        <f aca="true" t="shared" si="3" ref="I11:I27">+H11-$D$5</f>
        <v>-21.120000000000005</v>
      </c>
      <c r="J11" s="284">
        <f aca="true" t="shared" si="4" ref="J11:J27">+B11*$D$4-$D$6-$D$5</f>
        <v>-88</v>
      </c>
    </row>
    <row r="12" spans="2:10" ht="15">
      <c r="B12" s="285">
        <f>+B11+5</f>
        <v>105</v>
      </c>
      <c r="C12" s="286">
        <f>+C11</f>
        <v>0.16</v>
      </c>
      <c r="D12" s="287">
        <f aca="true" t="shared" si="5" ref="D12:D27">+B12*C12</f>
        <v>16.8</v>
      </c>
      <c r="E12" s="288">
        <f t="shared" si="0"/>
        <v>55.775999999999996</v>
      </c>
      <c r="F12" s="289">
        <f aca="true" t="shared" si="6" ref="F12:F27">1-C12</f>
        <v>0.84</v>
      </c>
      <c r="G12" s="290">
        <f t="shared" si="1"/>
        <v>88.2</v>
      </c>
      <c r="H12" s="291">
        <f t="shared" si="2"/>
        <v>292.824</v>
      </c>
      <c r="I12" s="292">
        <f t="shared" si="3"/>
        <v>-7.175999999999988</v>
      </c>
      <c r="J12" s="293">
        <f t="shared" si="4"/>
        <v>-71.40000000000003</v>
      </c>
    </row>
    <row r="13" spans="2:10" ht="15">
      <c r="B13" s="285">
        <f aca="true" t="shared" si="7" ref="B13:B27">+B12+5</f>
        <v>110</v>
      </c>
      <c r="C13" s="286">
        <f>+C12</f>
        <v>0.16</v>
      </c>
      <c r="D13" s="287">
        <f t="shared" si="5"/>
        <v>17.6</v>
      </c>
      <c r="E13" s="288">
        <f t="shared" si="0"/>
        <v>58.432</v>
      </c>
      <c r="F13" s="289">
        <f t="shared" si="6"/>
        <v>0.84</v>
      </c>
      <c r="G13" s="290">
        <f t="shared" si="1"/>
        <v>92.39999999999999</v>
      </c>
      <c r="H13" s="291">
        <f t="shared" si="2"/>
        <v>306.768</v>
      </c>
      <c r="I13" s="292">
        <f t="shared" si="3"/>
        <v>6.767999999999972</v>
      </c>
      <c r="J13" s="293">
        <f t="shared" si="4"/>
        <v>-54.80000000000001</v>
      </c>
    </row>
    <row r="14" spans="2:10" ht="15">
      <c r="B14" s="285">
        <f t="shared" si="7"/>
        <v>115</v>
      </c>
      <c r="C14" s="286">
        <f>+C13</f>
        <v>0.16</v>
      </c>
      <c r="D14" s="287">
        <f t="shared" si="5"/>
        <v>18.400000000000002</v>
      </c>
      <c r="E14" s="288">
        <f t="shared" si="0"/>
        <v>61.088</v>
      </c>
      <c r="F14" s="289">
        <f t="shared" si="6"/>
        <v>0.84</v>
      </c>
      <c r="G14" s="290">
        <f t="shared" si="1"/>
        <v>96.6</v>
      </c>
      <c r="H14" s="291">
        <f t="shared" si="2"/>
        <v>320.712</v>
      </c>
      <c r="I14" s="292">
        <f t="shared" si="3"/>
        <v>20.71199999999999</v>
      </c>
      <c r="J14" s="293">
        <f t="shared" si="4"/>
        <v>-38.200000000000045</v>
      </c>
    </row>
    <row r="15" spans="2:10" ht="15">
      <c r="B15" s="285">
        <f t="shared" si="7"/>
        <v>120</v>
      </c>
      <c r="C15" s="286">
        <f>C13+0.02</f>
        <v>0.18</v>
      </c>
      <c r="D15" s="287">
        <f t="shared" si="5"/>
        <v>21.599999999999998</v>
      </c>
      <c r="E15" s="288">
        <f t="shared" si="0"/>
        <v>71.71199999999999</v>
      </c>
      <c r="F15" s="289">
        <f t="shared" si="6"/>
        <v>0.8200000000000001</v>
      </c>
      <c r="G15" s="290">
        <f t="shared" si="1"/>
        <v>98.4</v>
      </c>
      <c r="H15" s="291">
        <f t="shared" si="2"/>
        <v>326.688</v>
      </c>
      <c r="I15" s="292">
        <f t="shared" si="3"/>
        <v>26.687999999999988</v>
      </c>
      <c r="J15" s="293">
        <f t="shared" si="4"/>
        <v>-21.600000000000023</v>
      </c>
    </row>
    <row r="16" spans="2:10" ht="15">
      <c r="B16" s="285">
        <f t="shared" si="7"/>
        <v>125</v>
      </c>
      <c r="C16" s="286">
        <f>+C15</f>
        <v>0.18</v>
      </c>
      <c r="D16" s="287">
        <f t="shared" si="5"/>
        <v>22.5</v>
      </c>
      <c r="E16" s="288">
        <f t="shared" si="0"/>
        <v>74.7</v>
      </c>
      <c r="F16" s="289">
        <f t="shared" si="6"/>
        <v>0.8200000000000001</v>
      </c>
      <c r="G16" s="290">
        <f t="shared" si="1"/>
        <v>102.50000000000001</v>
      </c>
      <c r="H16" s="291">
        <f t="shared" si="2"/>
        <v>340.3</v>
      </c>
      <c r="I16" s="292">
        <f t="shared" si="3"/>
        <v>40.30000000000001</v>
      </c>
      <c r="J16" s="293">
        <f t="shared" si="4"/>
        <v>-5</v>
      </c>
    </row>
    <row r="17" spans="2:10" ht="15">
      <c r="B17" s="285">
        <f t="shared" si="7"/>
        <v>130</v>
      </c>
      <c r="C17" s="286">
        <f>+C16</f>
        <v>0.18</v>
      </c>
      <c r="D17" s="287">
        <f t="shared" si="5"/>
        <v>23.4</v>
      </c>
      <c r="E17" s="288">
        <f t="shared" si="0"/>
        <v>77.68799999999999</v>
      </c>
      <c r="F17" s="289">
        <f t="shared" si="6"/>
        <v>0.8200000000000001</v>
      </c>
      <c r="G17" s="290">
        <f t="shared" si="1"/>
        <v>106.60000000000001</v>
      </c>
      <c r="H17" s="291">
        <f t="shared" si="2"/>
        <v>353.91200000000003</v>
      </c>
      <c r="I17" s="292">
        <f t="shared" si="3"/>
        <v>53.912000000000035</v>
      </c>
      <c r="J17" s="293">
        <f t="shared" si="4"/>
        <v>11.599999999999966</v>
      </c>
    </row>
    <row r="18" spans="2:10" ht="15">
      <c r="B18" s="285">
        <f t="shared" si="7"/>
        <v>135</v>
      </c>
      <c r="C18" s="286">
        <f>+C17</f>
        <v>0.18</v>
      </c>
      <c r="D18" s="287">
        <f t="shared" si="5"/>
        <v>24.3</v>
      </c>
      <c r="E18" s="288">
        <f t="shared" si="0"/>
        <v>80.676</v>
      </c>
      <c r="F18" s="289">
        <f t="shared" si="6"/>
        <v>0.8200000000000001</v>
      </c>
      <c r="G18" s="290">
        <f t="shared" si="1"/>
        <v>110.7</v>
      </c>
      <c r="H18" s="291">
        <f t="shared" si="2"/>
        <v>367.524</v>
      </c>
      <c r="I18" s="292">
        <f t="shared" si="3"/>
        <v>67.524</v>
      </c>
      <c r="J18" s="293">
        <f t="shared" si="4"/>
        <v>28.19999999999999</v>
      </c>
    </row>
    <row r="19" spans="2:10" ht="15">
      <c r="B19" s="285">
        <f t="shared" si="7"/>
        <v>140</v>
      </c>
      <c r="C19" s="286">
        <f>C18+0.02</f>
        <v>0.19999999999999998</v>
      </c>
      <c r="D19" s="287">
        <f t="shared" si="5"/>
        <v>27.999999999999996</v>
      </c>
      <c r="E19" s="288">
        <f t="shared" si="0"/>
        <v>92.95999999999998</v>
      </c>
      <c r="F19" s="289">
        <f t="shared" si="6"/>
        <v>0.8</v>
      </c>
      <c r="G19" s="290">
        <f t="shared" si="1"/>
        <v>112</v>
      </c>
      <c r="H19" s="291">
        <f t="shared" si="2"/>
        <v>371.84</v>
      </c>
      <c r="I19" s="292">
        <f t="shared" si="3"/>
        <v>71.83999999999997</v>
      </c>
      <c r="J19" s="293">
        <f t="shared" si="4"/>
        <v>44.799999999999955</v>
      </c>
    </row>
    <row r="20" spans="2:10" ht="15">
      <c r="B20" s="285">
        <f t="shared" si="7"/>
        <v>145</v>
      </c>
      <c r="C20" s="286">
        <f>C19</f>
        <v>0.19999999999999998</v>
      </c>
      <c r="D20" s="287">
        <f t="shared" si="5"/>
        <v>28.999999999999996</v>
      </c>
      <c r="E20" s="288">
        <f t="shared" si="0"/>
        <v>96.27999999999999</v>
      </c>
      <c r="F20" s="289">
        <f t="shared" si="6"/>
        <v>0.8</v>
      </c>
      <c r="G20" s="290">
        <f t="shared" si="1"/>
        <v>116</v>
      </c>
      <c r="H20" s="291">
        <f t="shared" si="2"/>
        <v>385.12</v>
      </c>
      <c r="I20" s="292">
        <f t="shared" si="3"/>
        <v>85.12</v>
      </c>
      <c r="J20" s="293">
        <f t="shared" si="4"/>
        <v>61.39999999999998</v>
      </c>
    </row>
    <row r="21" spans="2:10" ht="15">
      <c r="B21" s="285">
        <f t="shared" si="7"/>
        <v>150</v>
      </c>
      <c r="C21" s="286">
        <f>C20+0.02</f>
        <v>0.21999999999999997</v>
      </c>
      <c r="D21" s="287">
        <f t="shared" si="5"/>
        <v>32.99999999999999</v>
      </c>
      <c r="E21" s="288">
        <f t="shared" si="0"/>
        <v>109.55999999999997</v>
      </c>
      <c r="F21" s="289">
        <f t="shared" si="6"/>
        <v>0.78</v>
      </c>
      <c r="G21" s="290">
        <f t="shared" si="1"/>
        <v>117</v>
      </c>
      <c r="H21" s="291">
        <f t="shared" si="2"/>
        <v>388.44</v>
      </c>
      <c r="I21" s="292">
        <f t="shared" si="3"/>
        <v>88.44</v>
      </c>
      <c r="J21" s="293">
        <f t="shared" si="4"/>
        <v>78</v>
      </c>
    </row>
    <row r="22" spans="2:10" ht="15">
      <c r="B22" s="285">
        <f t="shared" si="7"/>
        <v>155</v>
      </c>
      <c r="C22" s="286">
        <f>C21</f>
        <v>0.21999999999999997</v>
      </c>
      <c r="D22" s="287">
        <f t="shared" si="5"/>
        <v>34.099999999999994</v>
      </c>
      <c r="E22" s="288">
        <f t="shared" si="0"/>
        <v>113.21199999999997</v>
      </c>
      <c r="F22" s="289">
        <f t="shared" si="6"/>
        <v>0.78</v>
      </c>
      <c r="G22" s="290">
        <f t="shared" si="1"/>
        <v>120.9</v>
      </c>
      <c r="H22" s="291">
        <f t="shared" si="2"/>
        <v>401.388</v>
      </c>
      <c r="I22" s="292">
        <f t="shared" si="3"/>
        <v>101.38799999999998</v>
      </c>
      <c r="J22" s="293">
        <f t="shared" si="4"/>
        <v>94.60000000000002</v>
      </c>
    </row>
    <row r="23" spans="2:10" ht="15">
      <c r="B23" s="285">
        <f t="shared" si="7"/>
        <v>160</v>
      </c>
      <c r="C23" s="286">
        <f>C22+0.02</f>
        <v>0.23999999999999996</v>
      </c>
      <c r="D23" s="287">
        <f t="shared" si="5"/>
        <v>38.39999999999999</v>
      </c>
      <c r="E23" s="288">
        <f t="shared" si="0"/>
        <v>127.48799999999997</v>
      </c>
      <c r="F23" s="289">
        <f t="shared" si="6"/>
        <v>0.76</v>
      </c>
      <c r="G23" s="290">
        <f t="shared" si="1"/>
        <v>121.6</v>
      </c>
      <c r="H23" s="291">
        <f t="shared" si="2"/>
        <v>403.712</v>
      </c>
      <c r="I23" s="292">
        <f t="shared" si="3"/>
        <v>103.71199999999999</v>
      </c>
      <c r="J23" s="293">
        <f t="shared" si="4"/>
        <v>111.19999999999993</v>
      </c>
    </row>
    <row r="24" spans="2:10" ht="15">
      <c r="B24" s="285">
        <f t="shared" si="7"/>
        <v>165</v>
      </c>
      <c r="C24" s="286">
        <f>C23</f>
        <v>0.23999999999999996</v>
      </c>
      <c r="D24" s="287">
        <f t="shared" si="5"/>
        <v>39.599999999999994</v>
      </c>
      <c r="E24" s="288">
        <f t="shared" si="0"/>
        <v>131.47199999999998</v>
      </c>
      <c r="F24" s="289">
        <f t="shared" si="6"/>
        <v>0.76</v>
      </c>
      <c r="G24" s="290">
        <f t="shared" si="1"/>
        <v>125.4</v>
      </c>
      <c r="H24" s="291">
        <f t="shared" si="2"/>
        <v>416.328</v>
      </c>
      <c r="I24" s="292">
        <f t="shared" si="3"/>
        <v>116.32799999999997</v>
      </c>
      <c r="J24" s="293">
        <f t="shared" si="4"/>
        <v>127.79999999999995</v>
      </c>
    </row>
    <row r="25" spans="2:10" ht="15">
      <c r="B25" s="285">
        <f t="shared" si="7"/>
        <v>170</v>
      </c>
      <c r="C25" s="286">
        <f>C24+0.02</f>
        <v>0.25999999999999995</v>
      </c>
      <c r="D25" s="287">
        <f t="shared" si="5"/>
        <v>44.19999999999999</v>
      </c>
      <c r="E25" s="288">
        <f t="shared" si="0"/>
        <v>146.74399999999994</v>
      </c>
      <c r="F25" s="289">
        <f t="shared" si="6"/>
        <v>0.74</v>
      </c>
      <c r="G25" s="290">
        <f t="shared" si="1"/>
        <v>125.8</v>
      </c>
      <c r="H25" s="291">
        <f t="shared" si="2"/>
        <v>417.65599999999995</v>
      </c>
      <c r="I25" s="292">
        <f t="shared" si="3"/>
        <v>117.65599999999995</v>
      </c>
      <c r="J25" s="293">
        <f t="shared" si="4"/>
        <v>144.39999999999998</v>
      </c>
    </row>
    <row r="26" spans="2:10" ht="15">
      <c r="B26" s="261">
        <f t="shared" si="7"/>
        <v>175</v>
      </c>
      <c r="C26" s="294">
        <f>C25+0.01</f>
        <v>0.26999999999999996</v>
      </c>
      <c r="D26" s="295">
        <f t="shared" si="5"/>
        <v>47.24999999999999</v>
      </c>
      <c r="E26" s="296">
        <f t="shared" si="0"/>
        <v>156.86999999999998</v>
      </c>
      <c r="F26" s="297">
        <f t="shared" si="6"/>
        <v>0.73</v>
      </c>
      <c r="G26" s="298">
        <f t="shared" si="1"/>
        <v>127.75</v>
      </c>
      <c r="H26" s="299">
        <f t="shared" si="2"/>
        <v>424.13</v>
      </c>
      <c r="I26" s="300">
        <f t="shared" si="3"/>
        <v>124.13</v>
      </c>
      <c r="J26" s="301">
        <f t="shared" si="4"/>
        <v>161</v>
      </c>
    </row>
    <row r="27" spans="2:10" ht="15.75" thickBot="1">
      <c r="B27" s="302">
        <f t="shared" si="7"/>
        <v>180</v>
      </c>
      <c r="C27" s="303">
        <f>C26+0.01</f>
        <v>0.27999999999999997</v>
      </c>
      <c r="D27" s="304">
        <f t="shared" si="5"/>
        <v>50.39999999999999</v>
      </c>
      <c r="E27" s="305">
        <f t="shared" si="0"/>
        <v>167.32799999999997</v>
      </c>
      <c r="F27" s="306">
        <f t="shared" si="6"/>
        <v>0.72</v>
      </c>
      <c r="G27" s="307">
        <f t="shared" si="1"/>
        <v>129.6</v>
      </c>
      <c r="H27" s="308">
        <f t="shared" si="2"/>
        <v>430.27199999999993</v>
      </c>
      <c r="I27" s="309">
        <f t="shared" si="3"/>
        <v>130.27199999999993</v>
      </c>
      <c r="J27" s="310">
        <f t="shared" si="4"/>
        <v>177.60000000000002</v>
      </c>
    </row>
    <row r="28" spans="2:10" ht="15">
      <c r="B28" s="92" t="s">
        <v>225</v>
      </c>
      <c r="C28" s="92"/>
      <c r="D28" s="311"/>
      <c r="E28" s="92"/>
      <c r="F28" s="92"/>
      <c r="G28" s="311"/>
      <c r="H28" s="92"/>
      <c r="I28" s="92"/>
      <c r="J28" s="92"/>
    </row>
    <row r="29" spans="2:10" ht="15">
      <c r="B29" s="92" t="s">
        <v>4</v>
      </c>
      <c r="C29" s="92"/>
      <c r="D29" s="311"/>
      <c r="E29" s="92"/>
      <c r="F29" s="92"/>
      <c r="G29" s="311"/>
      <c r="H29" s="92"/>
      <c r="I29" s="92"/>
      <c r="J29" s="92"/>
    </row>
    <row r="30" spans="2:10" ht="15">
      <c r="B30" s="92" t="s">
        <v>5</v>
      </c>
      <c r="C30" s="92"/>
      <c r="D30" s="311"/>
      <c r="E30" s="92"/>
      <c r="F30" s="92"/>
      <c r="G30" s="311"/>
      <c r="H30" s="92"/>
      <c r="I30" s="92"/>
      <c r="J30" s="92"/>
    </row>
    <row r="31" spans="2:10" ht="15">
      <c r="B31" s="92" t="s">
        <v>6</v>
      </c>
      <c r="C31" s="92"/>
      <c r="D31" s="311"/>
      <c r="E31" s="92"/>
      <c r="F31" s="92"/>
      <c r="G31" s="311"/>
      <c r="H31" s="92"/>
      <c r="I31" s="92"/>
      <c r="J31" s="92"/>
    </row>
  </sheetData>
  <sheetProtection/>
  <printOptions gridLines="1"/>
  <pageMargins left="0.27" right="0.35" top="1" bottom="1" header="0.5" footer="0.5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49"/>
  <sheetViews>
    <sheetView zoomScale="80" zoomScaleNormal="80" zoomScalePageLayoutView="0" workbookViewId="0" topLeftCell="A1">
      <selection activeCell="B1" sqref="B1"/>
    </sheetView>
  </sheetViews>
  <sheetFormatPr defaultColWidth="8.75390625" defaultRowHeight="15"/>
  <cols>
    <col min="1" max="1" width="2.75390625" style="3" customWidth="1"/>
    <col min="2" max="2" width="47.75390625" style="3" customWidth="1"/>
    <col min="3" max="4" width="12.625" style="3" customWidth="1"/>
    <col min="5" max="5" width="21.375" style="3" customWidth="1"/>
    <col min="6" max="6" width="14.50390625" style="3" customWidth="1"/>
    <col min="7" max="7" width="17.75390625" style="3" customWidth="1"/>
    <col min="8" max="8" width="14.625" style="3" customWidth="1"/>
    <col min="9" max="9" width="16.875" style="3" customWidth="1"/>
    <col min="10" max="11" width="8.75390625" style="3" customWidth="1"/>
    <col min="12" max="12" width="10.875" style="3" customWidth="1"/>
    <col min="13" max="13" width="8.75390625" style="3" customWidth="1"/>
    <col min="14" max="14" width="10.75390625" style="3" customWidth="1"/>
    <col min="15" max="16384" width="8.75390625" style="3" customWidth="1"/>
  </cols>
  <sheetData>
    <row r="2" spans="2:9" ht="24" customHeight="1">
      <c r="B2" s="77" t="s">
        <v>238</v>
      </c>
      <c r="C2" s="56"/>
      <c r="D2" s="56"/>
      <c r="E2" s="56"/>
      <c r="F2" s="56"/>
      <c r="G2" s="56"/>
      <c r="H2" s="56"/>
      <c r="I2" s="57"/>
    </row>
    <row r="3" spans="2:9" ht="18">
      <c r="B3" s="312" t="s">
        <v>222</v>
      </c>
      <c r="C3" s="34"/>
      <c r="D3" s="34"/>
      <c r="E3" s="34"/>
      <c r="F3" s="34"/>
      <c r="G3" s="34"/>
      <c r="H3" s="34"/>
      <c r="I3" s="67"/>
    </row>
    <row r="4" spans="2:9" ht="15.75">
      <c r="B4" s="424"/>
      <c r="C4" s="314"/>
      <c r="D4" s="377" t="s">
        <v>72</v>
      </c>
      <c r="E4" s="377" t="s">
        <v>204</v>
      </c>
      <c r="F4" s="377" t="s">
        <v>73</v>
      </c>
      <c r="G4" s="377" t="s">
        <v>74</v>
      </c>
      <c r="H4" s="425" t="s">
        <v>71</v>
      </c>
      <c r="I4" s="426" t="s">
        <v>70</v>
      </c>
    </row>
    <row r="5" spans="2:9" ht="15">
      <c r="B5" s="427" t="s">
        <v>49</v>
      </c>
      <c r="C5" s="344">
        <f>G16</f>
        <v>90</v>
      </c>
      <c r="D5" s="344"/>
      <c r="E5" s="344"/>
      <c r="F5" s="344"/>
      <c r="G5" s="344"/>
      <c r="H5" s="335"/>
      <c r="I5" s="383"/>
    </row>
    <row r="6" spans="2:9" ht="30">
      <c r="B6" s="428" t="s">
        <v>205</v>
      </c>
      <c r="C6" s="255"/>
      <c r="D6" s="429">
        <v>1800</v>
      </c>
      <c r="E6" s="384">
        <v>0.04</v>
      </c>
      <c r="F6" s="326">
        <f>G6*$C$5</f>
        <v>6480</v>
      </c>
      <c r="G6" s="366">
        <f>E6*$D$6</f>
        <v>72</v>
      </c>
      <c r="H6" s="367"/>
      <c r="I6" s="368">
        <f>G6</f>
        <v>72</v>
      </c>
    </row>
    <row r="7" spans="2:9" ht="30">
      <c r="B7" s="428" t="s">
        <v>289</v>
      </c>
      <c r="C7" s="255"/>
      <c r="D7" s="365"/>
      <c r="E7" s="384">
        <v>0.005</v>
      </c>
      <c r="F7" s="326">
        <f>G7*$C$5</f>
        <v>810</v>
      </c>
      <c r="G7" s="366">
        <f>E7*$D$6</f>
        <v>9</v>
      </c>
      <c r="H7" s="367"/>
      <c r="I7" s="368">
        <f>G7</f>
        <v>9</v>
      </c>
    </row>
    <row r="8" spans="2:9" ht="15">
      <c r="B8" s="254" t="s">
        <v>203</v>
      </c>
      <c r="C8" s="255"/>
      <c r="D8" s="365">
        <v>0</v>
      </c>
      <c r="E8" s="430">
        <v>10</v>
      </c>
      <c r="F8" s="326">
        <f>G8*$C$5</f>
        <v>0</v>
      </c>
      <c r="G8" s="366">
        <f>D8/E8</f>
        <v>0</v>
      </c>
      <c r="H8" s="367">
        <v>0</v>
      </c>
      <c r="I8" s="368">
        <f>G8</f>
        <v>0</v>
      </c>
    </row>
    <row r="9" spans="2:9" ht="15">
      <c r="B9" s="254" t="s">
        <v>214</v>
      </c>
      <c r="C9" s="255"/>
      <c r="D9" s="431">
        <v>0</v>
      </c>
      <c r="E9" s="255"/>
      <c r="F9" s="365"/>
      <c r="G9" s="366"/>
      <c r="H9" s="367"/>
      <c r="I9" s="368"/>
    </row>
    <row r="10" spans="2:9" ht="15">
      <c r="B10" s="254" t="s">
        <v>187</v>
      </c>
      <c r="C10" s="255"/>
      <c r="D10" s="255"/>
      <c r="E10" s="432">
        <v>12</v>
      </c>
      <c r="F10" s="366">
        <f>D9/E10</f>
        <v>0</v>
      </c>
      <c r="G10" s="366">
        <f>D9/E10/C5</f>
        <v>0</v>
      </c>
      <c r="H10" s="367"/>
      <c r="I10" s="368">
        <f>G10</f>
        <v>0</v>
      </c>
    </row>
    <row r="11" spans="2:9" ht="15">
      <c r="B11" s="254" t="s">
        <v>188</v>
      </c>
      <c r="C11" s="255"/>
      <c r="D11" s="255"/>
      <c r="E11" s="433">
        <v>0.04</v>
      </c>
      <c r="F11" s="366">
        <f>D9*E11</f>
        <v>0</v>
      </c>
      <c r="G11" s="366">
        <f>D9*E11/C5</f>
        <v>0</v>
      </c>
      <c r="H11" s="367"/>
      <c r="I11" s="368">
        <f>G11</f>
        <v>0</v>
      </c>
    </row>
    <row r="12" spans="2:9" ht="15">
      <c r="B12" s="254" t="s">
        <v>215</v>
      </c>
      <c r="C12" s="255"/>
      <c r="D12" s="255"/>
      <c r="E12" s="433"/>
      <c r="F12" s="365"/>
      <c r="G12" s="366">
        <v>0</v>
      </c>
      <c r="H12" s="367"/>
      <c r="I12" s="368"/>
    </row>
    <row r="13" spans="2:9" ht="15.75">
      <c r="B13" s="386" t="s">
        <v>126</v>
      </c>
      <c r="C13" s="255"/>
      <c r="D13" s="434"/>
      <c r="E13" s="388"/>
      <c r="F13" s="435">
        <f>SUM(F6:F12)</f>
        <v>7290</v>
      </c>
      <c r="G13" s="435">
        <f>SUM(G6:G12)</f>
        <v>81</v>
      </c>
      <c r="H13" s="340">
        <f>SUM(H6:H12)</f>
        <v>0</v>
      </c>
      <c r="I13" s="389">
        <f>SUM(I6:I12)</f>
        <v>81</v>
      </c>
    </row>
    <row r="14" spans="2:9" ht="18">
      <c r="B14" s="313" t="s">
        <v>220</v>
      </c>
      <c r="C14" s="69"/>
      <c r="D14" s="69"/>
      <c r="E14" s="69"/>
      <c r="F14" s="69"/>
      <c r="G14" s="69"/>
      <c r="H14" s="69"/>
      <c r="I14" s="70"/>
    </row>
    <row r="15" spans="2:9" ht="15.75">
      <c r="B15" s="343"/>
      <c r="C15" s="414" t="s">
        <v>31</v>
      </c>
      <c r="D15" s="414" t="s">
        <v>32</v>
      </c>
      <c r="E15" s="414" t="s">
        <v>33</v>
      </c>
      <c r="F15" s="414" t="s">
        <v>59</v>
      </c>
      <c r="G15" s="350" t="s">
        <v>60</v>
      </c>
      <c r="H15" s="415"/>
      <c r="I15" s="416"/>
    </row>
    <row r="16" spans="2:9" ht="15">
      <c r="B16" s="254" t="s">
        <v>49</v>
      </c>
      <c r="C16" s="417">
        <v>90</v>
      </c>
      <c r="D16" s="417">
        <v>0</v>
      </c>
      <c r="E16" s="417">
        <v>0</v>
      </c>
      <c r="F16" s="417">
        <v>0</v>
      </c>
      <c r="G16" s="255">
        <f>SUM(C16:F16)</f>
        <v>90</v>
      </c>
      <c r="H16" s="335"/>
      <c r="I16" s="383"/>
    </row>
    <row r="17" spans="2:9" ht="15.75">
      <c r="B17" s="380" t="s">
        <v>79</v>
      </c>
      <c r="C17" s="388">
        <v>110</v>
      </c>
      <c r="D17" s="388">
        <v>45</v>
      </c>
      <c r="E17" s="388">
        <v>45</v>
      </c>
      <c r="F17" s="418">
        <v>0</v>
      </c>
      <c r="G17" s="419"/>
      <c r="H17" s="335"/>
      <c r="I17" s="383"/>
    </row>
    <row r="18" spans="2:9" ht="15.75">
      <c r="B18" s="380" t="s">
        <v>62</v>
      </c>
      <c r="C18" s="420">
        <v>3.33</v>
      </c>
      <c r="D18" s="420">
        <v>6.5</v>
      </c>
      <c r="E18" s="420">
        <v>3.75</v>
      </c>
      <c r="F18" s="420"/>
      <c r="G18" s="346"/>
      <c r="H18" s="335"/>
      <c r="I18" s="383"/>
    </row>
    <row r="19" spans="2:9" ht="15.75">
      <c r="B19" s="380" t="s">
        <v>80</v>
      </c>
      <c r="C19" s="372">
        <f>C17*C16</f>
        <v>9900</v>
      </c>
      <c r="D19" s="372">
        <f>D17*D16</f>
        <v>0</v>
      </c>
      <c r="E19" s="372">
        <f>E17*E16</f>
        <v>0</v>
      </c>
      <c r="F19" s="372">
        <f>F17*F16</f>
        <v>0</v>
      </c>
      <c r="G19" s="372"/>
      <c r="H19" s="335"/>
      <c r="I19" s="383"/>
    </row>
    <row r="20" spans="2:9" ht="15.75">
      <c r="B20" s="380" t="s">
        <v>189</v>
      </c>
      <c r="C20" s="352">
        <f>C19*C18</f>
        <v>32967</v>
      </c>
      <c r="D20" s="352">
        <f>D19*D18</f>
        <v>0</v>
      </c>
      <c r="E20" s="352">
        <f>E19*E18</f>
        <v>0</v>
      </c>
      <c r="F20" s="352">
        <f>F19*F18</f>
        <v>0</v>
      </c>
      <c r="G20" s="352">
        <f>SUM(C20:F20)</f>
        <v>32967</v>
      </c>
      <c r="H20" s="421">
        <f>G20*$H$55</f>
        <v>25029.991915348946</v>
      </c>
      <c r="I20" s="422">
        <f>G20*$I$55</f>
        <v>7937.008084651052</v>
      </c>
    </row>
    <row r="21" spans="2:9" ht="15.75">
      <c r="B21" s="380" t="s">
        <v>63</v>
      </c>
      <c r="C21" s="352">
        <v>0</v>
      </c>
      <c r="D21" s="352">
        <v>0</v>
      </c>
      <c r="E21" s="352">
        <v>0</v>
      </c>
      <c r="F21" s="352"/>
      <c r="G21" s="423">
        <f>SUM(C21:F21)</f>
        <v>0</v>
      </c>
      <c r="H21" s="421">
        <f>G21*$H$55</f>
        <v>0</v>
      </c>
      <c r="I21" s="422">
        <f>G21*$I$55</f>
        <v>0</v>
      </c>
    </row>
    <row r="22" spans="2:9" ht="15.75">
      <c r="B22" s="349" t="s">
        <v>64</v>
      </c>
      <c r="C22" s="423">
        <f>IF(C16=0,0,(C21+C20)/C16)</f>
        <v>366.3</v>
      </c>
      <c r="D22" s="423">
        <f>IF(D16=0,0,(D21+D20)/D16)</f>
        <v>0</v>
      </c>
      <c r="E22" s="423">
        <f>IF(E16=0,0,(E21+E20)/E16)</f>
        <v>0</v>
      </c>
      <c r="F22" s="423">
        <f>IF(F16=0,0,(F21+F20)/F16)</f>
        <v>0</v>
      </c>
      <c r="G22" s="423">
        <f>(G21+G20)/G16</f>
        <v>366.3</v>
      </c>
      <c r="H22" s="367">
        <f>G22*$H$55</f>
        <v>278.111021281655</v>
      </c>
      <c r="I22" s="368">
        <f>G22*$I$55</f>
        <v>88.18897871834503</v>
      </c>
    </row>
    <row r="23" spans="2:9" ht="18">
      <c r="B23" s="313" t="s">
        <v>221</v>
      </c>
      <c r="C23" s="69"/>
      <c r="D23" s="69"/>
      <c r="E23" s="69"/>
      <c r="F23" s="69"/>
      <c r="G23" s="28"/>
      <c r="H23" s="28"/>
      <c r="I23" s="71"/>
    </row>
    <row r="24" spans="2:9" ht="31.5">
      <c r="B24" s="360" t="s">
        <v>190</v>
      </c>
      <c r="C24" s="361" t="str">
        <f>C15</f>
        <v>Corn</v>
      </c>
      <c r="D24" s="361" t="str">
        <f>D15</f>
        <v>Soybeans</v>
      </c>
      <c r="E24" s="361" t="str">
        <f>E15</f>
        <v>Wheat</v>
      </c>
      <c r="F24" s="361" t="str">
        <f>F15</f>
        <v>Crop 4</v>
      </c>
      <c r="G24" s="362" t="s">
        <v>202</v>
      </c>
      <c r="H24" s="363" t="s">
        <v>71</v>
      </c>
      <c r="I24" s="364" t="s">
        <v>70</v>
      </c>
    </row>
    <row r="25" spans="2:11" ht="15">
      <c r="B25" s="254" t="s">
        <v>50</v>
      </c>
      <c r="C25" s="365">
        <v>53.8</v>
      </c>
      <c r="D25" s="365">
        <v>37</v>
      </c>
      <c r="E25" s="365">
        <v>28</v>
      </c>
      <c r="F25" s="365"/>
      <c r="G25" s="366">
        <f aca="true" t="shared" si="0" ref="G25:G40">(C25*$C$16/$G$16)+(D25*$D$16/$G$16)+(E25*$E$16/$G$16)+(F25*$F$16/$G$16)</f>
        <v>53.8</v>
      </c>
      <c r="H25" s="367">
        <f>G25</f>
        <v>53.8</v>
      </c>
      <c r="I25" s="368">
        <v>0</v>
      </c>
      <c r="K25" s="16"/>
    </row>
    <row r="26" spans="2:11" ht="15">
      <c r="B26" s="254" t="s">
        <v>51</v>
      </c>
      <c r="C26" s="365">
        <v>56</v>
      </c>
      <c r="D26" s="365">
        <v>13.2</v>
      </c>
      <c r="E26" s="365">
        <f>14+33</f>
        <v>47</v>
      </c>
      <c r="F26" s="365"/>
      <c r="G26" s="366">
        <f t="shared" si="0"/>
        <v>56</v>
      </c>
      <c r="H26" s="367">
        <v>56</v>
      </c>
      <c r="I26" s="368">
        <v>0</v>
      </c>
      <c r="K26" s="16"/>
    </row>
    <row r="27" spans="2:11" ht="15">
      <c r="B27" s="254" t="s">
        <v>52</v>
      </c>
      <c r="C27" s="365">
        <v>23</v>
      </c>
      <c r="D27" s="365">
        <f>18+24</f>
        <v>42</v>
      </c>
      <c r="E27" s="365">
        <v>5</v>
      </c>
      <c r="F27" s="365"/>
      <c r="G27" s="366">
        <f t="shared" si="0"/>
        <v>23</v>
      </c>
      <c r="H27" s="367">
        <v>23</v>
      </c>
      <c r="I27" s="368">
        <v>0</v>
      </c>
      <c r="K27" s="16"/>
    </row>
    <row r="28" spans="2:11" ht="15">
      <c r="B28" s="254" t="s">
        <v>75</v>
      </c>
      <c r="C28" s="365">
        <v>0</v>
      </c>
      <c r="D28" s="365"/>
      <c r="E28" s="365"/>
      <c r="F28" s="365"/>
      <c r="G28" s="366">
        <f t="shared" si="0"/>
        <v>0</v>
      </c>
      <c r="H28" s="367">
        <v>0</v>
      </c>
      <c r="I28" s="368">
        <v>0</v>
      </c>
      <c r="K28" s="16"/>
    </row>
    <row r="29" spans="2:11" ht="15">
      <c r="B29" s="254" t="s">
        <v>65</v>
      </c>
      <c r="C29" s="365">
        <v>0</v>
      </c>
      <c r="D29" s="365">
        <v>16.2</v>
      </c>
      <c r="E29" s="365">
        <v>12.6</v>
      </c>
      <c r="F29" s="365"/>
      <c r="G29" s="366">
        <f t="shared" si="0"/>
        <v>0</v>
      </c>
      <c r="H29" s="367">
        <f>G29</f>
        <v>0</v>
      </c>
      <c r="I29" s="368">
        <v>0</v>
      </c>
      <c r="K29" s="16"/>
    </row>
    <row r="30" spans="2:11" ht="15">
      <c r="B30" s="254" t="s">
        <v>66</v>
      </c>
      <c r="C30" s="365">
        <v>0</v>
      </c>
      <c r="D30" s="365">
        <v>16</v>
      </c>
      <c r="E30" s="365">
        <v>18</v>
      </c>
      <c r="F30" s="365"/>
      <c r="G30" s="366">
        <f t="shared" si="0"/>
        <v>0</v>
      </c>
      <c r="H30" s="367">
        <f>G30</f>
        <v>0</v>
      </c>
      <c r="I30" s="368"/>
      <c r="K30" s="16"/>
    </row>
    <row r="31" spans="2:11" ht="15">
      <c r="B31" s="254" t="s">
        <v>54</v>
      </c>
      <c r="C31" s="365">
        <v>8.6</v>
      </c>
      <c r="D31" s="365">
        <v>8.5</v>
      </c>
      <c r="E31" s="365">
        <v>6.55</v>
      </c>
      <c r="F31" s="365"/>
      <c r="G31" s="366">
        <f t="shared" si="0"/>
        <v>8.6</v>
      </c>
      <c r="H31" s="367">
        <f>G31</f>
        <v>8.6</v>
      </c>
      <c r="I31" s="368"/>
      <c r="K31" s="16"/>
    </row>
    <row r="32" spans="2:11" ht="15">
      <c r="B32" s="254" t="s">
        <v>57</v>
      </c>
      <c r="C32" s="365">
        <v>0</v>
      </c>
      <c r="D32" s="365"/>
      <c r="E32" s="365"/>
      <c r="F32" s="365"/>
      <c r="G32" s="366">
        <f t="shared" si="0"/>
        <v>0</v>
      </c>
      <c r="H32" s="367">
        <v>0</v>
      </c>
      <c r="I32" s="368"/>
      <c r="K32" s="16"/>
    </row>
    <row r="33" spans="2:11" ht="15">
      <c r="B33" s="254" t="s">
        <v>53</v>
      </c>
      <c r="C33" s="365">
        <v>33.53</v>
      </c>
      <c r="D33" s="365"/>
      <c r="E33" s="365"/>
      <c r="F33" s="365"/>
      <c r="G33" s="366">
        <f t="shared" si="0"/>
        <v>33.53</v>
      </c>
      <c r="H33" s="367">
        <f>G33</f>
        <v>33.53</v>
      </c>
      <c r="I33" s="368"/>
      <c r="K33" s="16"/>
    </row>
    <row r="34" spans="2:11" ht="15">
      <c r="B34" s="254" t="s">
        <v>76</v>
      </c>
      <c r="C34" s="365">
        <v>50</v>
      </c>
      <c r="D34" s="365"/>
      <c r="E34" s="365">
        <v>7</v>
      </c>
      <c r="F34" s="365"/>
      <c r="G34" s="366">
        <f t="shared" si="0"/>
        <v>50</v>
      </c>
      <c r="H34" s="367">
        <f>G34</f>
        <v>50</v>
      </c>
      <c r="I34" s="368"/>
      <c r="K34" s="16"/>
    </row>
    <row r="35" spans="2:11" ht="15">
      <c r="B35" s="254" t="s">
        <v>55</v>
      </c>
      <c r="C35" s="365">
        <v>16.76</v>
      </c>
      <c r="D35" s="365"/>
      <c r="E35" s="365"/>
      <c r="F35" s="365"/>
      <c r="G35" s="366">
        <f t="shared" si="0"/>
        <v>16.76</v>
      </c>
      <c r="H35" s="367">
        <v>16.76</v>
      </c>
      <c r="I35" s="368"/>
      <c r="K35" s="16"/>
    </row>
    <row r="36" spans="2:11" ht="15">
      <c r="B36" s="254" t="s">
        <v>56</v>
      </c>
      <c r="C36" s="365">
        <v>0</v>
      </c>
      <c r="D36" s="365"/>
      <c r="E36" s="365"/>
      <c r="F36" s="365"/>
      <c r="G36" s="366">
        <f t="shared" si="0"/>
        <v>0</v>
      </c>
      <c r="H36" s="367"/>
      <c r="I36" s="368"/>
      <c r="K36" s="16"/>
    </row>
    <row r="37" spans="2:11" ht="15">
      <c r="B37" s="254" t="s">
        <v>77</v>
      </c>
      <c r="C37" s="365">
        <v>0</v>
      </c>
      <c r="D37" s="365"/>
      <c r="E37" s="365"/>
      <c r="F37" s="365"/>
      <c r="G37" s="366">
        <f t="shared" si="0"/>
        <v>0</v>
      </c>
      <c r="H37" s="367">
        <f>G37</f>
        <v>0</v>
      </c>
      <c r="I37" s="368"/>
      <c r="K37" s="16"/>
    </row>
    <row r="38" spans="2:11" ht="15">
      <c r="B38" s="254" t="s">
        <v>67</v>
      </c>
      <c r="C38" s="365">
        <v>0</v>
      </c>
      <c r="D38" s="365">
        <v>5.35</v>
      </c>
      <c r="E38" s="365">
        <v>4.1</v>
      </c>
      <c r="F38" s="365"/>
      <c r="G38" s="366">
        <f t="shared" si="0"/>
        <v>0</v>
      </c>
      <c r="H38" s="367">
        <f>G38</f>
        <v>0</v>
      </c>
      <c r="I38" s="368"/>
      <c r="K38" s="16"/>
    </row>
    <row r="39" spans="2:11" ht="15">
      <c r="B39" s="254" t="s">
        <v>58</v>
      </c>
      <c r="C39" s="365">
        <v>0</v>
      </c>
      <c r="D39" s="365"/>
      <c r="E39" s="365"/>
      <c r="F39" s="365"/>
      <c r="G39" s="366">
        <f t="shared" si="0"/>
        <v>0</v>
      </c>
      <c r="H39" s="367">
        <v>0</v>
      </c>
      <c r="I39" s="368">
        <v>0</v>
      </c>
      <c r="K39" s="16"/>
    </row>
    <row r="40" spans="2:11" ht="15">
      <c r="B40" s="254" t="s">
        <v>128</v>
      </c>
      <c r="C40" s="365"/>
      <c r="D40" s="365"/>
      <c r="E40" s="365"/>
      <c r="F40" s="365"/>
      <c r="G40" s="366">
        <f t="shared" si="0"/>
        <v>0</v>
      </c>
      <c r="H40" s="367"/>
      <c r="I40" s="368">
        <v>0</v>
      </c>
      <c r="K40" s="16"/>
    </row>
    <row r="41" spans="2:11" ht="15.75">
      <c r="B41" s="349" t="s">
        <v>61</v>
      </c>
      <c r="C41" s="369">
        <f aca="true" t="shared" si="1" ref="C41:I41">SUM(C25:C40)</f>
        <v>241.69</v>
      </c>
      <c r="D41" s="369">
        <f t="shared" si="1"/>
        <v>138.25</v>
      </c>
      <c r="E41" s="369">
        <f t="shared" si="1"/>
        <v>128.25</v>
      </c>
      <c r="F41" s="369">
        <f t="shared" si="1"/>
        <v>0</v>
      </c>
      <c r="G41" s="369">
        <f t="shared" si="1"/>
        <v>241.69</v>
      </c>
      <c r="H41" s="370">
        <f t="shared" si="1"/>
        <v>241.69</v>
      </c>
      <c r="I41" s="371">
        <f t="shared" si="1"/>
        <v>0</v>
      </c>
      <c r="K41" s="16"/>
    </row>
    <row r="42" spans="2:9" ht="15.75">
      <c r="B42" s="343" t="s">
        <v>207</v>
      </c>
      <c r="C42" s="372">
        <f>C41*C16</f>
        <v>21752.1</v>
      </c>
      <c r="D42" s="372">
        <f>D41*D16</f>
        <v>0</v>
      </c>
      <c r="E42" s="372">
        <f>E41*E16</f>
        <v>0</v>
      </c>
      <c r="F42" s="372">
        <f>F41*F16</f>
        <v>0</v>
      </c>
      <c r="G42" s="372"/>
      <c r="H42" s="373"/>
      <c r="I42" s="374"/>
    </row>
    <row r="43" spans="2:9" ht="27.75" customHeight="1">
      <c r="B43" s="375" t="s">
        <v>218</v>
      </c>
      <c r="C43" s="376"/>
      <c r="D43" s="377" t="s">
        <v>72</v>
      </c>
      <c r="E43" s="377" t="s">
        <v>204</v>
      </c>
      <c r="F43" s="377" t="s">
        <v>73</v>
      </c>
      <c r="G43" s="377" t="s">
        <v>74</v>
      </c>
      <c r="H43" s="378"/>
      <c r="I43" s="379"/>
    </row>
    <row r="44" spans="2:9" ht="15">
      <c r="B44" s="380" t="s">
        <v>191</v>
      </c>
      <c r="C44" s="255"/>
      <c r="D44" s="381">
        <v>100000</v>
      </c>
      <c r="E44" s="382">
        <v>1000</v>
      </c>
      <c r="F44" s="255"/>
      <c r="G44" s="344"/>
      <c r="H44" s="335"/>
      <c r="I44" s="383"/>
    </row>
    <row r="45" spans="2:9" ht="15">
      <c r="B45" s="380" t="s">
        <v>192</v>
      </c>
      <c r="C45" s="255"/>
      <c r="D45" s="381"/>
      <c r="E45" s="382">
        <f>D44*C5/E44/$G$16</f>
        <v>100</v>
      </c>
      <c r="F45" s="344"/>
      <c r="G45" s="344"/>
      <c r="H45" s="335"/>
      <c r="I45" s="383"/>
    </row>
    <row r="46" spans="2:9" ht="15">
      <c r="B46" s="254" t="s">
        <v>19</v>
      </c>
      <c r="C46" s="255"/>
      <c r="D46" s="255"/>
      <c r="E46" s="365">
        <v>10</v>
      </c>
      <c r="F46" s="326">
        <f>G46*$G$16</f>
        <v>900</v>
      </c>
      <c r="G46" s="366">
        <f>E45/E46</f>
        <v>10</v>
      </c>
      <c r="H46" s="367">
        <f>G46</f>
        <v>10</v>
      </c>
      <c r="I46" s="368"/>
    </row>
    <row r="47" spans="2:9" ht="15">
      <c r="B47" s="254" t="s">
        <v>78</v>
      </c>
      <c r="C47" s="255"/>
      <c r="D47" s="255"/>
      <c r="E47" s="384">
        <v>0.07</v>
      </c>
      <c r="F47" s="326">
        <f>G47*$G$16</f>
        <v>315.00000000000006</v>
      </c>
      <c r="G47" s="366">
        <f>E47*($E$45/2)</f>
        <v>3.5000000000000004</v>
      </c>
      <c r="H47" s="367">
        <f>G47</f>
        <v>3.5000000000000004</v>
      </c>
      <c r="I47" s="368"/>
    </row>
    <row r="48" spans="2:9" ht="15">
      <c r="B48" s="254" t="s">
        <v>22</v>
      </c>
      <c r="C48" s="255"/>
      <c r="D48" s="255"/>
      <c r="E48" s="385">
        <v>0.0025</v>
      </c>
      <c r="F48" s="326">
        <f>G48*$G$16</f>
        <v>22.5</v>
      </c>
      <c r="G48" s="366">
        <f>E48*$E$45</f>
        <v>0.25</v>
      </c>
      <c r="H48" s="367">
        <f>G48</f>
        <v>0.25</v>
      </c>
      <c r="I48" s="368"/>
    </row>
    <row r="49" spans="2:9" ht="15.75">
      <c r="B49" s="386" t="s">
        <v>36</v>
      </c>
      <c r="C49" s="255"/>
      <c r="D49" s="387"/>
      <c r="E49" s="388"/>
      <c r="F49" s="322">
        <f>SUM(F46:F48)</f>
        <v>1237.5</v>
      </c>
      <c r="G49" s="346">
        <f>SUM(G46:G48)</f>
        <v>13.75</v>
      </c>
      <c r="H49" s="340">
        <f>SUM(H46:H48)</f>
        <v>13.75</v>
      </c>
      <c r="I49" s="389">
        <f>SUM(I46:I48)</f>
        <v>0</v>
      </c>
    </row>
    <row r="50" spans="2:9" ht="15.75">
      <c r="B50" s="76" t="s">
        <v>200</v>
      </c>
      <c r="C50" s="316"/>
      <c r="D50" s="390"/>
      <c r="E50" s="391"/>
      <c r="F50" s="314"/>
      <c r="G50" s="391"/>
      <c r="H50" s="391"/>
      <c r="I50" s="392"/>
    </row>
    <row r="51" spans="2:9" ht="15.75">
      <c r="B51" s="380" t="s">
        <v>193</v>
      </c>
      <c r="C51" s="255"/>
      <c r="D51" s="393">
        <v>0</v>
      </c>
      <c r="E51" s="394" t="s">
        <v>41</v>
      </c>
      <c r="F51" s="395">
        <v>9</v>
      </c>
      <c r="G51" s="396">
        <f>D51*F51</f>
        <v>0</v>
      </c>
      <c r="H51" s="397">
        <f>G51</f>
        <v>0</v>
      </c>
      <c r="I51" s="398">
        <v>0</v>
      </c>
    </row>
    <row r="52" spans="2:9" ht="15.75">
      <c r="B52" s="380" t="s">
        <v>43</v>
      </c>
      <c r="C52" s="255"/>
      <c r="D52" s="399">
        <v>0</v>
      </c>
      <c r="E52" s="344" t="s">
        <v>127</v>
      </c>
      <c r="F52" s="400"/>
      <c r="G52" s="396">
        <f>(E45+D6)*D52</f>
        <v>0</v>
      </c>
      <c r="H52" s="397">
        <f>G52</f>
        <v>0</v>
      </c>
      <c r="I52" s="398"/>
    </row>
    <row r="53" spans="2:9" ht="15.75">
      <c r="B53" s="401" t="s">
        <v>219</v>
      </c>
      <c r="C53" s="402"/>
      <c r="D53" s="402"/>
      <c r="E53" s="402"/>
      <c r="F53" s="402"/>
      <c r="G53" s="403">
        <f>G41+G49+G51+G52</f>
        <v>255.44</v>
      </c>
      <c r="H53" s="340">
        <f>H41+H49+H51+H52</f>
        <v>255.44</v>
      </c>
      <c r="I53" s="389">
        <f>I41+I49+I51+I52</f>
        <v>0</v>
      </c>
    </row>
    <row r="54" spans="2:11" ht="15.75">
      <c r="B54" s="404" t="s">
        <v>212</v>
      </c>
      <c r="C54" s="405"/>
      <c r="D54" s="405"/>
      <c r="E54" s="405"/>
      <c r="F54" s="405"/>
      <c r="G54" s="406">
        <f>G53+G13</f>
        <v>336.44</v>
      </c>
      <c r="H54" s="407">
        <f>H13+H41+H49+H51+H52</f>
        <v>255.44</v>
      </c>
      <c r="I54" s="408">
        <f>I13+I41+I49+I51+I52</f>
        <v>81</v>
      </c>
      <c r="K54" s="15"/>
    </row>
    <row r="55" spans="2:9" ht="15.75">
      <c r="B55" s="409" t="s">
        <v>129</v>
      </c>
      <c r="C55" s="410"/>
      <c r="D55" s="410"/>
      <c r="E55" s="410"/>
      <c r="F55" s="410"/>
      <c r="G55" s="411"/>
      <c r="H55" s="412">
        <f>H54/(H54+I54)</f>
        <v>0.7592438473427654</v>
      </c>
      <c r="I55" s="413">
        <f>I54/(H54+I54)</f>
        <v>0.24075615265723457</v>
      </c>
    </row>
    <row r="56" spans="2:9" ht="18">
      <c r="B56" s="313" t="s">
        <v>199</v>
      </c>
      <c r="C56" s="69"/>
      <c r="D56" s="69"/>
      <c r="E56" s="69"/>
      <c r="F56" s="69"/>
      <c r="G56" s="72"/>
      <c r="H56" s="72"/>
      <c r="I56" s="73"/>
    </row>
    <row r="57" spans="2:9" ht="12.75">
      <c r="B57" s="68"/>
      <c r="C57" s="18"/>
      <c r="D57" s="14"/>
      <c r="E57" s="13"/>
      <c r="F57" s="74"/>
      <c r="G57" s="74"/>
      <c r="H57" s="13"/>
      <c r="I57" s="75"/>
    </row>
    <row r="58" spans="2:9" ht="15.75">
      <c r="B58" s="76" t="s">
        <v>194</v>
      </c>
      <c r="C58" s="314"/>
      <c r="D58" s="315" t="s">
        <v>206</v>
      </c>
      <c r="E58" s="315" t="s">
        <v>126</v>
      </c>
      <c r="F58" s="315"/>
      <c r="G58" s="316"/>
      <c r="H58" s="317"/>
      <c r="I58" s="318"/>
    </row>
    <row r="59" spans="2:9" ht="15.75">
      <c r="B59" s="319" t="s">
        <v>195</v>
      </c>
      <c r="C59" s="255"/>
      <c r="D59" s="320">
        <f>G22</f>
        <v>366.3</v>
      </c>
      <c r="E59" s="321">
        <f>D59*$G$16</f>
        <v>32967</v>
      </c>
      <c r="F59" s="322"/>
      <c r="G59" s="322"/>
      <c r="H59" s="323"/>
      <c r="I59" s="324"/>
    </row>
    <row r="60" spans="2:9" ht="15.75">
      <c r="B60" s="319" t="s">
        <v>209</v>
      </c>
      <c r="C60" s="255"/>
      <c r="D60" s="320">
        <f>G53</f>
        <v>255.44</v>
      </c>
      <c r="E60" s="325">
        <f>D60*$G$16</f>
        <v>22989.6</v>
      </c>
      <c r="F60" s="322"/>
      <c r="G60" s="322"/>
      <c r="H60" s="323"/>
      <c r="I60" s="324"/>
    </row>
    <row r="61" spans="2:9" ht="15.75">
      <c r="B61" s="319" t="s">
        <v>196</v>
      </c>
      <c r="C61" s="255"/>
      <c r="D61" s="320">
        <f>D59-D60</f>
        <v>110.86000000000001</v>
      </c>
      <c r="E61" s="325">
        <f>D61*$G$16</f>
        <v>9977.400000000001</v>
      </c>
      <c r="F61" s="322"/>
      <c r="G61" s="322"/>
      <c r="H61" s="323"/>
      <c r="I61" s="324"/>
    </row>
    <row r="62" spans="2:9" ht="15">
      <c r="B62" s="319" t="s">
        <v>210</v>
      </c>
      <c r="C62" s="255"/>
      <c r="D62" s="320">
        <f>G13</f>
        <v>81</v>
      </c>
      <c r="E62" s="325">
        <f>D62*$G$16</f>
        <v>7290</v>
      </c>
      <c r="F62" s="326"/>
      <c r="G62" s="326"/>
      <c r="H62" s="327"/>
      <c r="I62" s="328"/>
    </row>
    <row r="63" spans="2:9" ht="15">
      <c r="B63" s="329" t="s">
        <v>201</v>
      </c>
      <c r="C63" s="255"/>
      <c r="D63" s="320">
        <f>D61-G13</f>
        <v>29.860000000000014</v>
      </c>
      <c r="E63" s="325">
        <f>D63*$G$16</f>
        <v>2687.4000000000015</v>
      </c>
      <c r="F63" s="326"/>
      <c r="G63" s="326"/>
      <c r="H63" s="327"/>
      <c r="I63" s="328"/>
    </row>
    <row r="64" spans="2:9" ht="15.75">
      <c r="B64" s="76" t="s">
        <v>197</v>
      </c>
      <c r="C64" s="314"/>
      <c r="D64" s="330"/>
      <c r="E64" s="331"/>
      <c r="F64" s="332"/>
      <c r="G64" s="332"/>
      <c r="H64" s="332"/>
      <c r="I64" s="333"/>
    </row>
    <row r="65" spans="2:9" ht="15.75">
      <c r="B65" s="334"/>
      <c r="C65" s="335"/>
      <c r="D65" s="520" t="s">
        <v>1</v>
      </c>
      <c r="E65" s="521"/>
      <c r="F65" s="336"/>
      <c r="G65" s="522" t="s">
        <v>2</v>
      </c>
      <c r="H65" s="522"/>
      <c r="I65" s="337"/>
    </row>
    <row r="66" spans="2:9" ht="15.75">
      <c r="B66" s="338"/>
      <c r="C66" s="335"/>
      <c r="D66" s="339" t="s">
        <v>206</v>
      </c>
      <c r="E66" s="340" t="s">
        <v>126</v>
      </c>
      <c r="F66" s="336"/>
      <c r="G66" s="339" t="s">
        <v>206</v>
      </c>
      <c r="H66" s="340" t="s">
        <v>126</v>
      </c>
      <c r="I66" s="337"/>
    </row>
    <row r="67" spans="2:9" ht="15.75">
      <c r="B67" s="319" t="s">
        <v>211</v>
      </c>
      <c r="C67" s="255"/>
      <c r="D67" s="341">
        <f>($G$54-($H$54+$I$54))</f>
        <v>0</v>
      </c>
      <c r="E67" s="325">
        <f>D67*$G$16</f>
        <v>0</v>
      </c>
      <c r="F67" s="323"/>
      <c r="G67" s="342">
        <f>($G$54-($H$54+$I$54))</f>
        <v>0</v>
      </c>
      <c r="H67" s="325">
        <f>G67*$G$16</f>
        <v>0</v>
      </c>
      <c r="I67" s="324"/>
    </row>
    <row r="68" spans="2:9" ht="15.75">
      <c r="B68" s="343" t="s">
        <v>213</v>
      </c>
      <c r="C68" s="344"/>
      <c r="D68" s="345">
        <f>I55</f>
        <v>0.24075615265723457</v>
      </c>
      <c r="E68" s="346"/>
      <c r="F68" s="322"/>
      <c r="G68" s="345">
        <f>H55</f>
        <v>0.7592438473427654</v>
      </c>
      <c r="H68" s="344"/>
      <c r="I68" s="324"/>
    </row>
    <row r="69" spans="2:9" ht="15.75">
      <c r="B69" s="254" t="s">
        <v>208</v>
      </c>
      <c r="C69" s="255"/>
      <c r="D69" s="347">
        <f>D59*I55</f>
        <v>88.18897871834503</v>
      </c>
      <c r="E69" s="325">
        <f aca="true" t="shared" si="2" ref="E69:E74">D69*$G$16</f>
        <v>7937.008084651053</v>
      </c>
      <c r="F69" s="322"/>
      <c r="G69" s="348">
        <f>D59*H55</f>
        <v>278.111021281655</v>
      </c>
      <c r="H69" s="325">
        <f aca="true" t="shared" si="3" ref="H69:H74">G69*$G$16</f>
        <v>25029.99191534895</v>
      </c>
      <c r="I69" s="324"/>
    </row>
    <row r="70" spans="2:9" ht="15.75">
      <c r="B70" s="319" t="s">
        <v>216</v>
      </c>
      <c r="C70" s="255"/>
      <c r="D70" s="341">
        <f>I55*D67</f>
        <v>0</v>
      </c>
      <c r="E70" s="325">
        <f t="shared" si="2"/>
        <v>0</v>
      </c>
      <c r="F70" s="326"/>
      <c r="G70" s="341">
        <f>H55*D67</f>
        <v>0</v>
      </c>
      <c r="H70" s="325">
        <f t="shared" si="3"/>
        <v>0</v>
      </c>
      <c r="I70" s="324"/>
    </row>
    <row r="71" spans="2:9" ht="15.75">
      <c r="B71" s="319" t="s">
        <v>286</v>
      </c>
      <c r="C71" s="255"/>
      <c r="D71" s="341">
        <f>I53+D70+I7</f>
        <v>9</v>
      </c>
      <c r="E71" s="325">
        <f t="shared" si="2"/>
        <v>810</v>
      </c>
      <c r="F71" s="322"/>
      <c r="G71" s="320">
        <f>H53+G70-H46</f>
        <v>245.44</v>
      </c>
      <c r="H71" s="325">
        <f t="shared" si="3"/>
        <v>22089.6</v>
      </c>
      <c r="I71" s="324"/>
    </row>
    <row r="72" spans="2:9" ht="15.75">
      <c r="B72" s="349" t="s">
        <v>287</v>
      </c>
      <c r="C72" s="350"/>
      <c r="D72" s="351">
        <f>D69-D71</f>
        <v>79.18897871834503</v>
      </c>
      <c r="E72" s="352">
        <f t="shared" si="2"/>
        <v>7127.008084651053</v>
      </c>
      <c r="F72" s="322"/>
      <c r="G72" s="353">
        <f>G69-G71</f>
        <v>32.67102128165499</v>
      </c>
      <c r="H72" s="352">
        <f t="shared" si="3"/>
        <v>2940.3919153489487</v>
      </c>
      <c r="I72" s="324"/>
    </row>
    <row r="73" spans="2:9" ht="15.75">
      <c r="B73" s="319" t="s">
        <v>217</v>
      </c>
      <c r="C73" s="255"/>
      <c r="D73" s="320">
        <f>I54+D70</f>
        <v>81</v>
      </c>
      <c r="E73" s="325">
        <f t="shared" si="2"/>
        <v>7290</v>
      </c>
      <c r="F73" s="322"/>
      <c r="G73" s="320">
        <f>G70+H54</f>
        <v>255.44</v>
      </c>
      <c r="H73" s="325">
        <f t="shared" si="3"/>
        <v>22989.6</v>
      </c>
      <c r="I73" s="324"/>
    </row>
    <row r="74" spans="2:9" ht="15.75">
      <c r="B74" s="354" t="s">
        <v>288</v>
      </c>
      <c r="C74" s="355"/>
      <c r="D74" s="356">
        <f>D69-D73</f>
        <v>7.188978718345027</v>
      </c>
      <c r="E74" s="357">
        <f t="shared" si="2"/>
        <v>647.0080846510524</v>
      </c>
      <c r="F74" s="358"/>
      <c r="G74" s="356">
        <f>G69-G73</f>
        <v>22.671021281654987</v>
      </c>
      <c r="H74" s="357">
        <f t="shared" si="3"/>
        <v>2040.3919153489487</v>
      </c>
      <c r="I74" s="359"/>
    </row>
    <row r="75" spans="2:9" ht="12.75">
      <c r="B75" s="8"/>
      <c r="C75" s="12"/>
      <c r="D75" s="12"/>
      <c r="E75" s="12"/>
      <c r="F75" s="51"/>
      <c r="G75" s="51"/>
      <c r="H75" s="48"/>
      <c r="I75" s="48"/>
    </row>
    <row r="76" spans="2:9" ht="12.75">
      <c r="B76" s="27"/>
      <c r="C76" s="12"/>
      <c r="F76" s="49"/>
      <c r="G76" s="49"/>
      <c r="H76" s="48"/>
      <c r="I76" s="48"/>
    </row>
    <row r="77" spans="6:9" ht="12.75">
      <c r="F77" s="49"/>
      <c r="G77" s="49"/>
      <c r="H77" s="48"/>
      <c r="I77" s="48"/>
    </row>
    <row r="78" spans="2:9" ht="12.75">
      <c r="B78" s="8"/>
      <c r="F78" s="49"/>
      <c r="G78" s="49"/>
      <c r="H78" s="48"/>
      <c r="I78" s="48"/>
    </row>
    <row r="79" spans="2:8" ht="12.75">
      <c r="B79" s="17"/>
      <c r="F79" s="19"/>
      <c r="G79" s="50"/>
      <c r="H79" s="12"/>
    </row>
    <row r="80" spans="2:8" ht="12.75">
      <c r="B80" s="17"/>
      <c r="D80" s="3" t="s">
        <v>243</v>
      </c>
      <c r="F80" s="19"/>
      <c r="G80" s="50"/>
      <c r="H80" s="12"/>
    </row>
    <row r="81" spans="6:9" ht="12.75">
      <c r="F81" s="24"/>
      <c r="G81" s="24"/>
      <c r="H81" s="13"/>
      <c r="I81" s="13"/>
    </row>
    <row r="82" spans="2:9" ht="12.75">
      <c r="B82" s="5"/>
      <c r="C82" s="5"/>
      <c r="F82" s="24"/>
      <c r="G82" s="24"/>
      <c r="H82" s="13"/>
      <c r="I82" s="13"/>
    </row>
    <row r="83" spans="6:9" ht="12.75">
      <c r="F83" s="24"/>
      <c r="G83" s="24"/>
      <c r="H83" s="13"/>
      <c r="I83" s="13"/>
    </row>
    <row r="84" spans="6:9" ht="12.75">
      <c r="F84" s="24"/>
      <c r="G84" s="24"/>
      <c r="H84" s="13"/>
      <c r="I84" s="13"/>
    </row>
    <row r="85" spans="6:9" ht="12.75">
      <c r="F85" s="24"/>
      <c r="G85" s="24"/>
      <c r="H85" s="13"/>
      <c r="I85" s="13"/>
    </row>
    <row r="86" spans="6:9" ht="12.75">
      <c r="F86" s="24"/>
      <c r="G86" s="24"/>
      <c r="H86" s="13"/>
      <c r="I86" s="13"/>
    </row>
    <row r="87" spans="6:9" ht="12.75">
      <c r="F87" s="24"/>
      <c r="G87" s="24"/>
      <c r="H87" s="13"/>
      <c r="I87" s="13"/>
    </row>
    <row r="88" spans="6:9" ht="12.75">
      <c r="F88" s="24"/>
      <c r="G88" s="24"/>
      <c r="H88" s="13"/>
      <c r="I88" s="13"/>
    </row>
    <row r="99" spans="2:7" ht="12.75">
      <c r="B99" s="8"/>
      <c r="C99" s="9"/>
      <c r="D99" s="10"/>
      <c r="E99" s="9"/>
      <c r="F99" s="11"/>
      <c r="G99" s="12"/>
    </row>
    <row r="100" ht="12.75">
      <c r="J100" s="12" t="s">
        <v>130</v>
      </c>
    </row>
    <row r="119" ht="12.75">
      <c r="J119" s="5"/>
    </row>
    <row r="120" ht="12.75">
      <c r="J120" s="15"/>
    </row>
    <row r="124" spans="2:10" ht="15.75">
      <c r="B124" s="33" t="s">
        <v>69</v>
      </c>
      <c r="C124" s="30"/>
      <c r="D124" s="30"/>
      <c r="E124" s="30"/>
      <c r="F124" s="31"/>
      <c r="G124" s="32" t="s">
        <v>60</v>
      </c>
      <c r="H124" s="29" t="s">
        <v>71</v>
      </c>
      <c r="I124" s="29" t="s">
        <v>70</v>
      </c>
      <c r="J124" s="27"/>
    </row>
    <row r="135" spans="2:3" ht="12.75">
      <c r="B135" s="3" t="s">
        <v>198</v>
      </c>
      <c r="C135" s="15">
        <f>C22-G53</f>
        <v>110.86000000000001</v>
      </c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</sheetData>
  <sheetProtection/>
  <conditionalFormatting sqref="B25:B40 B46:B48 B6:B12">
    <cfRule type="expression" priority="1" dxfId="11" stopIfTrue="1">
      <formula>(H6+I6)&lt;G6</formula>
    </cfRule>
  </conditionalFormatting>
  <conditionalFormatting sqref="G25:G40 G46:G48 G6:G12">
    <cfRule type="cellIs" priority="2" dxfId="11" operator="greaterThan" stopIfTrue="1">
      <formula>(H6+I6)</formula>
    </cfRule>
  </conditionalFormatting>
  <conditionalFormatting sqref="D25:D40 E11:E12 D6:D10">
    <cfRule type="expression" priority="3" dxfId="11" stopIfTrue="1">
      <formula>(H6+I6)&lt;G6</formula>
    </cfRule>
  </conditionalFormatting>
  <conditionalFormatting sqref="C25:C40">
    <cfRule type="expression" priority="4" dxfId="11" stopIfTrue="1">
      <formula>(H25+I25)&lt;G25</formula>
    </cfRule>
  </conditionalFormatting>
  <conditionalFormatting sqref="E25:E40 E6:E8 E46:E48">
    <cfRule type="expression" priority="5" dxfId="11" stopIfTrue="1">
      <formula>(H6+I6)&lt;G6</formula>
    </cfRule>
  </conditionalFormatting>
  <conditionalFormatting sqref="F25:F40 F6:F12 F46:F48">
    <cfRule type="expression" priority="6" dxfId="11" stopIfTrue="1">
      <formula>(H6+I6)&lt;G6</formula>
    </cfRule>
  </conditionalFormatting>
  <conditionalFormatting sqref="H25:H40 H46:H48 H6:H12">
    <cfRule type="expression" priority="7" dxfId="11" stopIfTrue="1">
      <formula>(H6+I6)&lt;G6</formula>
    </cfRule>
  </conditionalFormatting>
  <conditionalFormatting sqref="I25:I40 I46:I48 I6:I12">
    <cfRule type="expression" priority="8" dxfId="11" stopIfTrue="1">
      <formula>(H6+I6)&lt;G6</formula>
    </cfRule>
  </conditionalFormatting>
  <conditionalFormatting sqref="D61:E63">
    <cfRule type="cellIs" priority="9" dxfId="12" operator="lessThan" stopIfTrue="1">
      <formula>0</formula>
    </cfRule>
  </conditionalFormatting>
  <conditionalFormatting sqref="E10">
    <cfRule type="expression" priority="10" dxfId="11" stopIfTrue="1">
      <formula>(I9+J9)&lt;H9</formula>
    </cfRule>
  </conditionalFormatting>
  <printOptions/>
  <pageMargins left="0.23" right="0.2" top="0.28" bottom="0.28" header="0.22" footer="0.19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7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5"/>
  <cols>
    <col min="1" max="1" width="6.25390625" style="0" customWidth="1"/>
    <col min="2" max="2" width="72.125" style="0" bestFit="1" customWidth="1"/>
    <col min="3" max="3" width="12.75390625" style="0" bestFit="1" customWidth="1"/>
    <col min="4" max="4" width="4.375" style="0" bestFit="1" customWidth="1"/>
    <col min="5" max="5" width="9.625" style="0" bestFit="1" customWidth="1"/>
    <col min="6" max="6" width="9.375" style="0" bestFit="1" customWidth="1"/>
    <col min="7" max="7" width="13.625" style="0" bestFit="1" customWidth="1"/>
    <col min="8" max="8" width="2.625" style="0" bestFit="1" customWidth="1"/>
  </cols>
  <sheetData>
    <row r="2" spans="2:8" ht="27.75">
      <c r="B2" s="436" t="s">
        <v>223</v>
      </c>
      <c r="C2" s="78"/>
      <c r="D2" s="20"/>
      <c r="E2" s="20"/>
      <c r="F2" s="20"/>
      <c r="G2" s="20"/>
      <c r="H2" s="20"/>
    </row>
    <row r="3" spans="2:8" ht="18">
      <c r="B3" s="312" t="s">
        <v>268</v>
      </c>
      <c r="C3" s="34"/>
      <c r="D3" s="34"/>
      <c r="E3" s="34"/>
      <c r="F3" s="34"/>
      <c r="G3" s="34"/>
      <c r="H3" s="35"/>
    </row>
    <row r="4" spans="2:9" ht="31.5">
      <c r="B4" s="121"/>
      <c r="C4" s="136" t="s">
        <v>11</v>
      </c>
      <c r="D4" s="119"/>
      <c r="E4" s="441"/>
      <c r="F4" s="464" t="s">
        <v>271</v>
      </c>
      <c r="G4" s="136" t="s">
        <v>250</v>
      </c>
      <c r="H4" s="119"/>
      <c r="I4" s="6"/>
    </row>
    <row r="5" spans="2:8" ht="15.75">
      <c r="B5" s="465" t="s">
        <v>49</v>
      </c>
      <c r="C5" s="105">
        <v>100</v>
      </c>
      <c r="D5" s="120"/>
      <c r="E5" s="120"/>
      <c r="F5" s="120"/>
      <c r="G5" s="87"/>
      <c r="H5" s="97"/>
    </row>
    <row r="6" spans="2:8" ht="15.75">
      <c r="B6" s="465" t="s">
        <v>244</v>
      </c>
      <c r="C6" s="466">
        <v>900</v>
      </c>
      <c r="D6" s="120"/>
      <c r="E6" s="120"/>
      <c r="F6" s="120"/>
      <c r="G6" s="467"/>
      <c r="H6" s="97"/>
    </row>
    <row r="7" spans="2:8" ht="15.75">
      <c r="B7" s="454" t="s">
        <v>133</v>
      </c>
      <c r="C7" s="468">
        <f>C5*C6</f>
        <v>90000</v>
      </c>
      <c r="D7" s="469"/>
      <c r="E7" s="469"/>
      <c r="F7" s="469"/>
      <c r="G7" s="470"/>
      <c r="H7" s="99" t="s">
        <v>34</v>
      </c>
    </row>
    <row r="8" spans="2:8" ht="15.75">
      <c r="B8" s="119" t="s">
        <v>247</v>
      </c>
      <c r="C8" s="471">
        <v>0.03</v>
      </c>
      <c r="D8" s="99" t="s">
        <v>113</v>
      </c>
      <c r="E8" s="472">
        <f>C7</f>
        <v>90000</v>
      </c>
      <c r="F8" s="446">
        <f>C8*$C$6</f>
        <v>27</v>
      </c>
      <c r="G8" s="473">
        <f>C8*$C$7</f>
        <v>2700</v>
      </c>
      <c r="H8" s="99"/>
    </row>
    <row r="9" spans="2:8" ht="15.75">
      <c r="B9" s="474" t="s">
        <v>158</v>
      </c>
      <c r="C9" s="471">
        <v>0.01</v>
      </c>
      <c r="D9" s="99" t="s">
        <v>113</v>
      </c>
      <c r="E9" s="472">
        <f>C7</f>
        <v>90000</v>
      </c>
      <c r="F9" s="446">
        <f>C9*$C$6</f>
        <v>9</v>
      </c>
      <c r="G9" s="473">
        <f>C9*$C$7</f>
        <v>900</v>
      </c>
      <c r="H9" s="99"/>
    </row>
    <row r="10" spans="2:8" ht="15.75">
      <c r="B10" s="119" t="s">
        <v>132</v>
      </c>
      <c r="C10" s="98">
        <v>0</v>
      </c>
      <c r="D10" s="99" t="s">
        <v>113</v>
      </c>
      <c r="E10" s="475"/>
      <c r="F10" s="446">
        <f>G10/$C$5</f>
        <v>0</v>
      </c>
      <c r="G10" s="473">
        <f>C10*$C$5</f>
        <v>0</v>
      </c>
      <c r="H10" s="99"/>
    </row>
    <row r="11" spans="2:8" ht="15.75">
      <c r="B11" s="454" t="s">
        <v>245</v>
      </c>
      <c r="C11" s="469"/>
      <c r="D11" s="476"/>
      <c r="E11" s="469"/>
      <c r="F11" s="469"/>
      <c r="G11" s="470"/>
      <c r="H11" s="441"/>
    </row>
    <row r="12" spans="2:8" ht="15.75">
      <c r="B12" s="477" t="s">
        <v>134</v>
      </c>
      <c r="C12" s="466">
        <v>3000</v>
      </c>
      <c r="D12" s="478"/>
      <c r="E12" s="467"/>
      <c r="F12" s="467"/>
      <c r="G12" s="119"/>
      <c r="H12" s="99"/>
    </row>
    <row r="13" spans="2:8" ht="15.75">
      <c r="B13" s="477" t="s">
        <v>136</v>
      </c>
      <c r="C13" s="466">
        <v>1000</v>
      </c>
      <c r="D13" s="478"/>
      <c r="E13" s="467"/>
      <c r="F13" s="467"/>
      <c r="G13" s="119"/>
      <c r="H13" s="99"/>
    </row>
    <row r="14" spans="2:8" ht="15.75">
      <c r="B14" s="477" t="s">
        <v>135</v>
      </c>
      <c r="C14" s="466">
        <v>0</v>
      </c>
      <c r="D14" s="478"/>
      <c r="E14" s="467"/>
      <c r="F14" s="467"/>
      <c r="G14" s="119"/>
      <c r="H14" s="99"/>
    </row>
    <row r="15" spans="2:8" ht="15.75">
      <c r="B15" s="479" t="s">
        <v>126</v>
      </c>
      <c r="C15" s="480">
        <f>SUM(C12:C14)</f>
        <v>4000</v>
      </c>
      <c r="D15" s="478"/>
      <c r="E15" s="467"/>
      <c r="F15" s="467"/>
      <c r="G15" s="119"/>
      <c r="H15" s="99"/>
    </row>
    <row r="16" spans="2:8" ht="15.75">
      <c r="B16" s="474" t="s">
        <v>246</v>
      </c>
      <c r="C16" s="105">
        <v>25</v>
      </c>
      <c r="D16" s="481" t="s">
        <v>251</v>
      </c>
      <c r="E16" s="472">
        <f>C15</f>
        <v>4000</v>
      </c>
      <c r="F16" s="446">
        <f>G16/$C$5</f>
        <v>1.6</v>
      </c>
      <c r="G16" s="482">
        <f>C15/C16</f>
        <v>160</v>
      </c>
      <c r="H16" s="99"/>
    </row>
    <row r="17" spans="2:8" ht="15.75">
      <c r="B17" s="474" t="s">
        <v>159</v>
      </c>
      <c r="C17" s="471">
        <v>0.035</v>
      </c>
      <c r="D17" s="99" t="s">
        <v>113</v>
      </c>
      <c r="E17" s="472">
        <f>C15</f>
        <v>4000</v>
      </c>
      <c r="F17" s="446">
        <f>G17/$C$5</f>
        <v>1.4</v>
      </c>
      <c r="G17" s="482">
        <f>C17*C15</f>
        <v>140</v>
      </c>
      <c r="H17" s="99"/>
    </row>
    <row r="18" spans="2:8" ht="15.75">
      <c r="B18" s="474" t="s">
        <v>21</v>
      </c>
      <c r="C18" s="471">
        <v>0.02</v>
      </c>
      <c r="D18" s="99" t="s">
        <v>113</v>
      </c>
      <c r="E18" s="472">
        <f>C15</f>
        <v>4000</v>
      </c>
      <c r="F18" s="446">
        <f>G18/$C$5</f>
        <v>0.8</v>
      </c>
      <c r="G18" s="482">
        <f>C18*C15</f>
        <v>80</v>
      </c>
      <c r="H18" s="99"/>
    </row>
    <row r="19" spans="2:8" ht="15.75">
      <c r="B19" s="474" t="s">
        <v>22</v>
      </c>
      <c r="C19" s="483">
        <v>0.0025</v>
      </c>
      <c r="D19" s="99" t="s">
        <v>113</v>
      </c>
      <c r="E19" s="472">
        <f>C15</f>
        <v>4000</v>
      </c>
      <c r="F19" s="446">
        <f>G19/$C$5</f>
        <v>0.1</v>
      </c>
      <c r="G19" s="482">
        <f>C19*C15</f>
        <v>10</v>
      </c>
      <c r="H19" s="99"/>
    </row>
    <row r="20" spans="2:8" ht="15.75">
      <c r="B20" s="484" t="s">
        <v>200</v>
      </c>
      <c r="C20" s="485"/>
      <c r="D20" s="455"/>
      <c r="E20" s="486"/>
      <c r="F20" s="487"/>
      <c r="G20" s="487"/>
      <c r="H20" s="455"/>
    </row>
    <row r="21" spans="2:8" ht="15.75">
      <c r="B21" s="119" t="s">
        <v>40</v>
      </c>
      <c r="C21" s="488">
        <v>9</v>
      </c>
      <c r="D21" s="488"/>
      <c r="E21" s="488"/>
      <c r="F21" s="489"/>
      <c r="G21" s="87"/>
      <c r="H21" s="99" t="s">
        <v>35</v>
      </c>
    </row>
    <row r="22" spans="2:8" ht="15.75">
      <c r="B22" s="119" t="s">
        <v>131</v>
      </c>
      <c r="C22" s="105">
        <v>0.25</v>
      </c>
      <c r="D22" s="105"/>
      <c r="E22" s="105"/>
      <c r="F22" s="446">
        <f>G22/$C$5</f>
        <v>2.25</v>
      </c>
      <c r="G22" s="490">
        <f>C22*C21*C5</f>
        <v>225</v>
      </c>
      <c r="H22" s="99" t="s">
        <v>38</v>
      </c>
    </row>
    <row r="23" spans="2:8" ht="15.75">
      <c r="B23" s="119" t="s">
        <v>270</v>
      </c>
      <c r="C23" s="491">
        <v>0.01</v>
      </c>
      <c r="D23" s="491"/>
      <c r="E23" s="491"/>
      <c r="F23" s="446">
        <f>G23/$C$5</f>
        <v>9.4</v>
      </c>
      <c r="G23" s="490">
        <f>(C7+C15)*C23</f>
        <v>940</v>
      </c>
      <c r="H23" s="99"/>
    </row>
    <row r="24" spans="2:8" ht="15.75">
      <c r="B24" s="454" t="s">
        <v>148</v>
      </c>
      <c r="C24" s="492"/>
      <c r="D24" s="492"/>
      <c r="E24" s="492"/>
      <c r="F24" s="460">
        <f>G24/$C$5</f>
        <v>51.55</v>
      </c>
      <c r="G24" s="460">
        <f>SUM(G8:G23)</f>
        <v>5155</v>
      </c>
      <c r="H24" s="99" t="s">
        <v>39</v>
      </c>
    </row>
    <row r="25" spans="2:8" ht="15.75">
      <c r="B25" s="97" t="s">
        <v>272</v>
      </c>
      <c r="C25" s="493">
        <v>2.5</v>
      </c>
      <c r="D25" s="491"/>
      <c r="E25" s="491"/>
      <c r="F25" s="491"/>
      <c r="G25" s="490"/>
      <c r="H25" s="494" t="s">
        <v>42</v>
      </c>
    </row>
    <row r="26" spans="2:8" ht="15.75">
      <c r="B26" s="454" t="s">
        <v>267</v>
      </c>
      <c r="C26" s="492"/>
      <c r="D26" s="492"/>
      <c r="E26" s="492"/>
      <c r="F26" s="492"/>
      <c r="G26" s="460">
        <f>F24*C25</f>
        <v>128.875</v>
      </c>
      <c r="H26" s="494" t="s">
        <v>44</v>
      </c>
    </row>
    <row r="28" spans="2:8" ht="18">
      <c r="B28" s="116" t="s">
        <v>269</v>
      </c>
      <c r="C28" s="38"/>
      <c r="D28" s="38"/>
      <c r="E28" s="38"/>
      <c r="F28" s="38"/>
      <c r="G28" s="38"/>
      <c r="H28" s="39"/>
    </row>
    <row r="29" spans="2:8" ht="15.75">
      <c r="B29" s="95" t="s">
        <v>137</v>
      </c>
      <c r="C29" s="99"/>
      <c r="D29" s="99"/>
      <c r="E29" s="95"/>
      <c r="F29" s="95"/>
      <c r="G29" s="441"/>
      <c r="H29" s="99"/>
    </row>
    <row r="30" spans="2:8" ht="15.75">
      <c r="B30" s="97" t="s">
        <v>259</v>
      </c>
      <c r="C30" s="98">
        <v>650</v>
      </c>
      <c r="D30" s="99"/>
      <c r="E30" s="95"/>
      <c r="F30" s="95"/>
      <c r="G30" s="441"/>
      <c r="H30" s="99"/>
    </row>
    <row r="31" spans="2:8" ht="15.75">
      <c r="B31" s="97" t="s">
        <v>260</v>
      </c>
      <c r="C31" s="450">
        <v>1.4</v>
      </c>
      <c r="D31" s="99"/>
      <c r="E31" s="95"/>
      <c r="F31" s="95"/>
      <c r="G31" s="441"/>
      <c r="H31" s="99"/>
    </row>
    <row r="32" spans="2:8" ht="15.75">
      <c r="B32" s="97" t="s">
        <v>261</v>
      </c>
      <c r="C32" s="101">
        <f>C31*C30</f>
        <v>909.9999999999999</v>
      </c>
      <c r="D32" s="99"/>
      <c r="E32" s="441"/>
      <c r="F32" s="441"/>
      <c r="G32" s="441"/>
      <c r="H32" s="99" t="s">
        <v>34</v>
      </c>
    </row>
    <row r="33" spans="2:8" ht="15.75">
      <c r="B33" s="95" t="s">
        <v>138</v>
      </c>
      <c r="C33" s="83"/>
      <c r="D33" s="99"/>
      <c r="E33" s="97"/>
      <c r="F33" s="97"/>
      <c r="G33" s="446"/>
      <c r="H33" s="441"/>
    </row>
    <row r="34" spans="2:8" ht="15.75">
      <c r="B34" s="451" t="s">
        <v>156</v>
      </c>
      <c r="C34" s="452">
        <v>0.04</v>
      </c>
      <c r="D34" s="99" t="s">
        <v>15</v>
      </c>
      <c r="E34" s="453">
        <f>$C$32</f>
        <v>909.9999999999999</v>
      </c>
      <c r="F34" s="453"/>
      <c r="G34" s="446">
        <f>E34*C34</f>
        <v>36.4</v>
      </c>
      <c r="H34" s="99"/>
    </row>
    <row r="35" spans="2:8" ht="15.75">
      <c r="B35" s="451" t="s">
        <v>157</v>
      </c>
      <c r="C35" s="452">
        <v>0.03</v>
      </c>
      <c r="D35" s="99" t="s">
        <v>15</v>
      </c>
      <c r="E35" s="453">
        <f>$C$32</f>
        <v>909.9999999999999</v>
      </c>
      <c r="F35" s="453"/>
      <c r="G35" s="446">
        <f>E35*C35</f>
        <v>27.299999999999997</v>
      </c>
      <c r="H35" s="99"/>
    </row>
    <row r="36" spans="2:8" ht="15.75">
      <c r="B36" s="451" t="s">
        <v>150</v>
      </c>
      <c r="C36" s="452">
        <v>0.02</v>
      </c>
      <c r="D36" s="99" t="s">
        <v>15</v>
      </c>
      <c r="E36" s="453">
        <f>$C$32</f>
        <v>909.9999999999999</v>
      </c>
      <c r="F36" s="453"/>
      <c r="G36" s="446">
        <f>E36*C36</f>
        <v>18.2</v>
      </c>
      <c r="H36" s="99"/>
    </row>
    <row r="37" spans="2:8" ht="15.75">
      <c r="B37" s="451" t="s">
        <v>139</v>
      </c>
      <c r="C37" s="452">
        <v>0.01</v>
      </c>
      <c r="D37" s="99" t="s">
        <v>15</v>
      </c>
      <c r="E37" s="453">
        <f>$C$32</f>
        <v>909.9999999999999</v>
      </c>
      <c r="F37" s="453"/>
      <c r="G37" s="446">
        <f>E37*C37</f>
        <v>9.1</v>
      </c>
      <c r="H37" s="99"/>
    </row>
    <row r="38" spans="2:8" ht="15.75">
      <c r="B38" s="454" t="s">
        <v>140</v>
      </c>
      <c r="C38" s="454"/>
      <c r="D38" s="455"/>
      <c r="E38" s="454"/>
      <c r="F38" s="454"/>
      <c r="G38" s="448">
        <f>SUM(G34:G37)</f>
        <v>90.99999999999999</v>
      </c>
      <c r="H38" s="99" t="s">
        <v>35</v>
      </c>
    </row>
    <row r="39" spans="2:8" ht="15.75">
      <c r="B39" s="95" t="s">
        <v>141</v>
      </c>
      <c r="C39" s="441"/>
      <c r="D39" s="99"/>
      <c r="E39" s="97"/>
      <c r="F39" s="97"/>
      <c r="G39" s="456">
        <v>0</v>
      </c>
      <c r="H39" s="99" t="s">
        <v>38</v>
      </c>
    </row>
    <row r="40" spans="2:8" ht="15.75">
      <c r="B40" s="95" t="s">
        <v>142</v>
      </c>
      <c r="C40" s="99" t="s">
        <v>143</v>
      </c>
      <c r="D40" s="99"/>
      <c r="E40" s="99" t="s">
        <v>144</v>
      </c>
      <c r="F40" s="99"/>
      <c r="G40" s="446"/>
      <c r="H40" s="441"/>
    </row>
    <row r="41" spans="2:8" ht="15.75">
      <c r="B41" s="451" t="s">
        <v>248</v>
      </c>
      <c r="C41" s="457">
        <v>0.5</v>
      </c>
      <c r="D41" s="99"/>
      <c r="E41" s="99"/>
      <c r="F41" s="99"/>
      <c r="G41" s="446"/>
      <c r="H41" s="99"/>
    </row>
    <row r="42" spans="2:8" ht="15.75">
      <c r="B42" s="451" t="s">
        <v>249</v>
      </c>
      <c r="C42" s="456">
        <v>15</v>
      </c>
      <c r="D42" s="99"/>
      <c r="E42" s="441"/>
      <c r="F42" s="441"/>
      <c r="G42" s="446">
        <f>C42*C41</f>
        <v>7.5</v>
      </c>
      <c r="H42" s="99"/>
    </row>
    <row r="43" spans="2:8" ht="15.75">
      <c r="B43" s="451" t="s">
        <v>145</v>
      </c>
      <c r="C43" s="458">
        <v>0.01</v>
      </c>
      <c r="D43" s="99" t="s">
        <v>15</v>
      </c>
      <c r="E43" s="453">
        <f>C32</f>
        <v>909.9999999999999</v>
      </c>
      <c r="F43" s="453"/>
      <c r="G43" s="446">
        <f>E43*C43</f>
        <v>9.1</v>
      </c>
      <c r="H43" s="99"/>
    </row>
    <row r="44" spans="2:8" ht="15.75">
      <c r="B44" s="121" t="s">
        <v>146</v>
      </c>
      <c r="C44" s="121"/>
      <c r="D44" s="121"/>
      <c r="E44" s="121"/>
      <c r="F44" s="121"/>
      <c r="G44" s="459">
        <f>G43+G42</f>
        <v>16.6</v>
      </c>
      <c r="H44" s="99" t="s">
        <v>39</v>
      </c>
    </row>
    <row r="45" spans="2:8" ht="15.75">
      <c r="B45" s="454" t="s">
        <v>149</v>
      </c>
      <c r="C45" s="454"/>
      <c r="D45" s="454"/>
      <c r="E45" s="454"/>
      <c r="F45" s="454"/>
      <c r="G45" s="460">
        <f>G38+G39+G44</f>
        <v>107.6</v>
      </c>
      <c r="H45" s="99" t="s">
        <v>42</v>
      </c>
    </row>
    <row r="46" spans="2:8" ht="15.75">
      <c r="B46" s="107" t="s">
        <v>147</v>
      </c>
      <c r="C46" s="107"/>
      <c r="D46" s="107"/>
      <c r="E46" s="107"/>
      <c r="F46" s="107"/>
      <c r="G46" s="109">
        <f>C32+G38+G44+G39</f>
        <v>1017.5999999999999</v>
      </c>
      <c r="H46" s="99" t="s">
        <v>44</v>
      </c>
    </row>
    <row r="47" spans="2:8" ht="15.75">
      <c r="B47" s="95" t="s">
        <v>252</v>
      </c>
      <c r="C47" s="99"/>
      <c r="D47" s="99"/>
      <c r="E47" s="99"/>
      <c r="F47" s="99"/>
      <c r="G47" s="441"/>
      <c r="H47" s="99"/>
    </row>
    <row r="48" spans="2:8" ht="15.75">
      <c r="B48" s="97" t="s">
        <v>254</v>
      </c>
      <c r="C48" s="161">
        <v>855</v>
      </c>
      <c r="D48" s="99"/>
      <c r="E48" s="99"/>
      <c r="F48" s="99"/>
      <c r="G48" s="441"/>
      <c r="H48" s="99"/>
    </row>
    <row r="49" spans="2:8" ht="15.75">
      <c r="B49" s="97" t="s">
        <v>253</v>
      </c>
      <c r="C49" s="456">
        <v>1.2</v>
      </c>
      <c r="D49" s="441"/>
      <c r="E49" s="87"/>
      <c r="F49" s="456"/>
      <c r="G49" s="446">
        <f>C49*C48</f>
        <v>1026</v>
      </c>
      <c r="H49" s="99" t="s">
        <v>86</v>
      </c>
    </row>
    <row r="50" spans="2:8" ht="15.75">
      <c r="B50" s="107" t="s">
        <v>255</v>
      </c>
      <c r="C50" s="107"/>
      <c r="D50" s="107"/>
      <c r="E50" s="107"/>
      <c r="F50" s="107"/>
      <c r="G50" s="109">
        <f>G49-G46</f>
        <v>8.400000000000091</v>
      </c>
      <c r="H50" s="99" t="s">
        <v>87</v>
      </c>
    </row>
    <row r="51" spans="2:8" ht="15.75">
      <c r="B51" s="97" t="s">
        <v>272</v>
      </c>
      <c r="C51" s="461">
        <f>C25</f>
        <v>2.5</v>
      </c>
      <c r="D51" s="97"/>
      <c r="E51" s="441"/>
      <c r="F51" s="441"/>
      <c r="G51" s="441"/>
      <c r="H51" s="99" t="s">
        <v>88</v>
      </c>
    </row>
    <row r="52" spans="2:8" ht="15.75">
      <c r="B52" s="462" t="s">
        <v>257</v>
      </c>
      <c r="C52" s="462"/>
      <c r="D52" s="462"/>
      <c r="E52" s="462"/>
      <c r="F52" s="462"/>
      <c r="G52" s="463">
        <f>G50/C51</f>
        <v>3.3600000000000363</v>
      </c>
      <c r="H52" s="99" t="s">
        <v>89</v>
      </c>
    </row>
    <row r="53" ht="15.75">
      <c r="B53" s="3"/>
    </row>
    <row r="54" spans="2:8" ht="20.25">
      <c r="B54" s="437" t="s">
        <v>256</v>
      </c>
      <c r="C54" s="40"/>
      <c r="D54" s="40"/>
      <c r="E54" s="40"/>
      <c r="F54" s="40"/>
      <c r="G54" s="40"/>
      <c r="H54" s="41"/>
    </row>
    <row r="55" spans="2:9" ht="15.75">
      <c r="B55" s="285" t="s">
        <v>262</v>
      </c>
      <c r="C55" s="438"/>
      <c r="D55" s="438"/>
      <c r="E55" s="439"/>
      <c r="F55" s="439"/>
      <c r="G55" s="440">
        <f>G26</f>
        <v>128.875</v>
      </c>
      <c r="H55" s="441"/>
      <c r="I55" s="87"/>
    </row>
    <row r="56" spans="2:9" ht="15.75">
      <c r="B56" s="442" t="s">
        <v>151</v>
      </c>
      <c r="C56" s="438"/>
      <c r="D56" s="438"/>
      <c r="E56" s="439"/>
      <c r="F56" s="439"/>
      <c r="G56" s="440">
        <f>G45</f>
        <v>107.6</v>
      </c>
      <c r="H56" s="46"/>
      <c r="I56" s="87"/>
    </row>
    <row r="57" spans="2:9" ht="15.75">
      <c r="B57" s="285" t="s">
        <v>258</v>
      </c>
      <c r="C57" s="438"/>
      <c r="D57" s="438"/>
      <c r="E57" s="439"/>
      <c r="F57" s="439"/>
      <c r="G57" s="440">
        <f>G55+G56</f>
        <v>236.475</v>
      </c>
      <c r="H57" s="46"/>
      <c r="I57" s="87"/>
    </row>
    <row r="58" spans="2:9" ht="15.75">
      <c r="B58" s="285" t="s">
        <v>263</v>
      </c>
      <c r="C58" s="438"/>
      <c r="D58" s="438"/>
      <c r="E58" s="439"/>
      <c r="F58" s="439"/>
      <c r="G58" s="443">
        <f>G55/G57</f>
        <v>0.5449836134897981</v>
      </c>
      <c r="H58" s="99" t="s">
        <v>34</v>
      </c>
      <c r="I58" s="87"/>
    </row>
    <row r="59" spans="2:9" ht="15.75">
      <c r="B59" s="442" t="s">
        <v>264</v>
      </c>
      <c r="C59" s="438"/>
      <c r="D59" s="438"/>
      <c r="E59" s="439"/>
      <c r="F59" s="439"/>
      <c r="G59" s="443">
        <f>G56/G57</f>
        <v>0.45501638651020193</v>
      </c>
      <c r="H59" s="99" t="s">
        <v>35</v>
      </c>
      <c r="I59" s="87"/>
    </row>
    <row r="60" spans="2:9" ht="15.75">
      <c r="B60" s="444" t="s">
        <v>265</v>
      </c>
      <c r="C60" s="438"/>
      <c r="D60" s="438"/>
      <c r="E60" s="439"/>
      <c r="F60" s="439"/>
      <c r="G60" s="441"/>
      <c r="H60" s="46"/>
      <c r="I60" s="87"/>
    </row>
    <row r="61" spans="2:9" ht="15.75">
      <c r="B61" s="442" t="s">
        <v>152</v>
      </c>
      <c r="C61" s="438"/>
      <c r="D61" s="438"/>
      <c r="E61" s="439"/>
      <c r="F61" s="439"/>
      <c r="G61" s="445">
        <f>G49</f>
        <v>1026</v>
      </c>
      <c r="H61" s="99"/>
      <c r="I61" s="87"/>
    </row>
    <row r="62" spans="2:9" ht="15.75">
      <c r="B62" s="442" t="s">
        <v>153</v>
      </c>
      <c r="C62" s="438"/>
      <c r="D62" s="438"/>
      <c r="E62" s="439"/>
      <c r="F62" s="439"/>
      <c r="G62" s="445">
        <f>C32</f>
        <v>909.9999999999999</v>
      </c>
      <c r="H62" s="99"/>
      <c r="I62" s="87"/>
    </row>
    <row r="63" spans="2:9" ht="15.75">
      <c r="B63" s="285" t="s">
        <v>266</v>
      </c>
      <c r="C63" s="438"/>
      <c r="D63" s="438"/>
      <c r="E63" s="439"/>
      <c r="F63" s="439"/>
      <c r="G63" s="446">
        <f>G61-G62</f>
        <v>116.00000000000011</v>
      </c>
      <c r="H63" s="99" t="s">
        <v>38</v>
      </c>
      <c r="I63" s="87"/>
    </row>
    <row r="64" spans="2:9" ht="15.75">
      <c r="B64" s="447" t="s">
        <v>154</v>
      </c>
      <c r="C64" s="42"/>
      <c r="D64" s="42"/>
      <c r="E64" s="43"/>
      <c r="F64" s="43"/>
      <c r="G64" s="448">
        <f>G63*G58</f>
        <v>63.218099164816635</v>
      </c>
      <c r="H64" s="97"/>
      <c r="I64" s="87"/>
    </row>
    <row r="65" spans="2:9" ht="15.75">
      <c r="B65" s="449" t="s">
        <v>155</v>
      </c>
      <c r="C65" s="44"/>
      <c r="D65" s="44"/>
      <c r="E65" s="45"/>
      <c r="F65" s="45"/>
      <c r="G65" s="448">
        <f>G63*G59</f>
        <v>52.78190083518348</v>
      </c>
      <c r="H65" s="97"/>
      <c r="I65" s="87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7"/>
    </row>
    <row r="71" ht="15.75">
      <c r="B71" s="3"/>
    </row>
    <row r="72" ht="15.75">
      <c r="B72" s="3"/>
    </row>
    <row r="73" ht="15.75">
      <c r="B73" s="3"/>
    </row>
    <row r="74" ht="15.75">
      <c r="B74" s="3"/>
    </row>
  </sheetData>
  <sheetProtection/>
  <conditionalFormatting sqref="G50">
    <cfRule type="cellIs" priority="1" dxfId="13" operator="lessThan" stopIfTrue="1">
      <formula>0</formula>
    </cfRule>
  </conditionalFormatting>
  <printOptions/>
  <pageMargins left="0.44" right="0.2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omafra</dc:creator>
  <cp:keywords/>
  <dc:description/>
  <cp:lastModifiedBy>Bauman, Jamie (OMAFRA)</cp:lastModifiedBy>
  <cp:lastPrinted>2002-09-10T14:13:45Z</cp:lastPrinted>
  <dcterms:created xsi:type="dcterms:W3CDTF">2000-01-03T19:49:04Z</dcterms:created>
  <dcterms:modified xsi:type="dcterms:W3CDTF">2015-12-03T15:04:32Z</dcterms:modified>
  <cp:category/>
  <cp:version/>
  <cp:contentType/>
  <cp:contentStatus/>
</cp:coreProperties>
</file>