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85" windowHeight="8235" activeTab="0"/>
  </bookViews>
  <sheets>
    <sheet name="Ve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0">'Veal'!$P$6455</definedName>
    <definedName name="\0">#REF!</definedName>
    <definedName name="\a" localSheetId="0">'Veal'!$P$6588</definedName>
    <definedName name="\a">#REF!</definedName>
    <definedName name="\e" localSheetId="0">'Veal'!$P$6612:$P$6623</definedName>
    <definedName name="\e">#REF!</definedName>
    <definedName name="\h" localSheetId="0">'Veal'!$P$6522</definedName>
    <definedName name="\h">#REF!</definedName>
    <definedName name="\m" localSheetId="0">'Veal'!$P$6544</definedName>
    <definedName name="\m">#REF!</definedName>
    <definedName name="\n" localSheetId="0">'Veal'!$P$6537</definedName>
    <definedName name="\n">#REF!</definedName>
    <definedName name="\p" localSheetId="0">'Veal'!$P$6731</definedName>
    <definedName name="\p">#REF!</definedName>
    <definedName name="\s" localSheetId="0">'Veal'!$P$6529:$P$6534</definedName>
    <definedName name="\s">#REF!</definedName>
    <definedName name="\t" localSheetId="0">'Veal'!$P$6597</definedName>
    <definedName name="\t">#REF!</definedName>
    <definedName name="\u" localSheetId="0">'Veal'!$P$6729</definedName>
    <definedName name="\u">#REF!</definedName>
    <definedName name="\z" localSheetId="0">'Veal'!$P$6787</definedName>
    <definedName name="\z">#REF!</definedName>
    <definedName name="__123Graph_A" hidden="1">'[1]Schedule'!#REF!</definedName>
    <definedName name="__123Graph_LBL_A" hidden="1">'[1]Schedule'!#REF!</definedName>
    <definedName name="_1__123Graph_AP_I" hidden="1">'[1]Schedule'!#REF!</definedName>
    <definedName name="_2__123Graph_LBL_AP_I" hidden="1">'[1]Schedule'!#REF!</definedName>
    <definedName name="_3__123Graph_LBL_BP_I" hidden="1">'[1]Schedule'!#REF!</definedName>
    <definedName name="_APR1">#REF!</definedName>
    <definedName name="_APR2">#REF!</definedName>
    <definedName name="_APR3">#REF!</definedName>
    <definedName name="_APR4">#REF!</definedName>
    <definedName name="_DUD7" localSheetId="0">'Veal'!$AW$6486:$AW$6493</definedName>
    <definedName name="_DUD7">#REF!</definedName>
    <definedName name="_ENT1" localSheetId="0">'Veal'!$P$6644</definedName>
    <definedName name="_ENT1">#REF!</definedName>
    <definedName name="_ENT2" localSheetId="0">'Veal'!$P$6646</definedName>
    <definedName name="_ENT2">#REF!</definedName>
    <definedName name="_ENT3" localSheetId="0">'Veal'!$P$6648</definedName>
    <definedName name="_ENT3">#REF!</definedName>
    <definedName name="_ENT4" localSheetId="0">'Veal'!$P$6650</definedName>
    <definedName name="_ENT4">#REF!</definedName>
    <definedName name="_ENT5" localSheetId="0">'Veal'!$P$6652</definedName>
    <definedName name="_ENT5">#REF!</definedName>
    <definedName name="_ENT6" localSheetId="0">'Veal'!$P$6654</definedName>
    <definedName name="_ENT6">#REF!</definedName>
    <definedName name="_ENT7" localSheetId="0">'Veal'!$P$6656</definedName>
    <definedName name="_ENT7">#REF!</definedName>
    <definedName name="_ENT8" localSheetId="0">'Veal'!$P$6658</definedName>
    <definedName name="_ENT8">#REF!</definedName>
    <definedName name="_Fill" hidden="1">'[1]Schedule'!#REF!</definedName>
    <definedName name="_HAY1">'[7]Hay'!$A$1:$K$159</definedName>
    <definedName name="_Key1" localSheetId="0" hidden="1">'Veal'!$HW$38:$HW$41</definedName>
    <definedName name="_Key1" hidden="1">#REF!</definedName>
    <definedName name="_Order1" hidden="1">255</definedName>
    <definedName name="_Parse_In" localSheetId="0" hidden="1">'Veal'!$H$119:$H$121</definedName>
    <definedName name="_Parse_In" hidden="1">#REF!</definedName>
    <definedName name="_Parse_Out" localSheetId="0" hidden="1">'Veal'!$H$123</definedName>
    <definedName name="_Parse_Out" hidden="1">#REF!</definedName>
    <definedName name="_PAY1">#REF!</definedName>
    <definedName name="_Regression_Int" localSheetId="0" hidden="1">1</definedName>
    <definedName name="_Sort" localSheetId="0" hidden="1">'Veal'!$HV$38:$IB$41</definedName>
    <definedName name="_Sort" hidden="1">#REF!</definedName>
    <definedName name="_SUM1">#REF!</definedName>
    <definedName name="_SUM2">#REF!</definedName>
    <definedName name="_SUM3">#REF!</definedName>
    <definedName name="_Table2_In1" localSheetId="0" hidden="1">'Veal'!$BA$48</definedName>
    <definedName name="_Table2_In1" hidden="1">#REF!</definedName>
    <definedName name="_Table2_In2" localSheetId="0" hidden="1">'Veal'!$BA$49</definedName>
    <definedName name="_Table2_In2" hidden="1">#REF!</definedName>
    <definedName name="_Table2_Out" localSheetId="0" hidden="1">'Veal'!$BB$14:$BJ$46</definedName>
    <definedName name="_Table2_Out" hidden="1">#REF!</definedName>
    <definedName name="_XB1" localSheetId="0">'Veal'!$A$6873:$K$7031</definedName>
    <definedName name="_XB1">#REF!</definedName>
    <definedName name="_XB10" localSheetId="0">'Veal'!$A$203:$K$401</definedName>
    <definedName name="_XB10">#REF!</definedName>
    <definedName name="_XB11" localSheetId="0">'Veal'!$A$403:$K$601</definedName>
    <definedName name="_XB11">#REF!</definedName>
    <definedName name="_XB12" localSheetId="0">'Veal'!$A$603:$K$801</definedName>
    <definedName name="_XB12">#REF!</definedName>
    <definedName name="_XB2" localSheetId="0">'Veal'!$A$7034:$K$7191</definedName>
    <definedName name="_XB2">#REF!</definedName>
    <definedName name="_XB3" localSheetId="0">'Veal'!$A$7194:$K$7351</definedName>
    <definedName name="_XB3">#REF!</definedName>
    <definedName name="_XB4" localSheetId="0">'Veal'!$A$7354:$K$7511</definedName>
    <definedName name="_XB4">#REF!</definedName>
    <definedName name="_XB5" localSheetId="0">'Veal'!$A$7514:$K$7671</definedName>
    <definedName name="_XB5">#REF!</definedName>
    <definedName name="_XB6" localSheetId="0">'Veal'!$A$7674:$K$7831</definedName>
    <definedName name="_XB6">#REF!</definedName>
    <definedName name="_XB7" localSheetId="0">'Veal'!$A$7834:$K$7991</definedName>
    <definedName name="_XB7">#REF!</definedName>
    <definedName name="_XB8" localSheetId="0">'Veal'!$A$7994:$K$8151</definedName>
    <definedName name="_XB8">#REF!</definedName>
    <definedName name="_XB9" localSheetId="0">'Veal'!$A$1:$K$201</definedName>
    <definedName name="_XB9">#REF!</definedName>
    <definedName name="_XBC1" localSheetId="0">'Veal'!$A$6877</definedName>
    <definedName name="_XBC1">#REF!</definedName>
    <definedName name="_XBC10" localSheetId="0">'Veal'!$A$207</definedName>
    <definedName name="_XBC10">#REF!</definedName>
    <definedName name="_XBC11" localSheetId="0">'Veal'!$A$407</definedName>
    <definedName name="_XBC11">#REF!</definedName>
    <definedName name="_XBC12" localSheetId="0">'Veal'!$A$607</definedName>
    <definedName name="_XBC12">#REF!</definedName>
    <definedName name="_XBC2" localSheetId="0">'Veal'!$A$7038</definedName>
    <definedName name="_XBC2">#REF!</definedName>
    <definedName name="_XBC3" localSheetId="0">'Veal'!$A$7198</definedName>
    <definedName name="_XBC3">#REF!</definedName>
    <definedName name="_XBC4" localSheetId="0">'Veal'!$A$7358</definedName>
    <definedName name="_XBC4">#REF!</definedName>
    <definedName name="_XBC5" localSheetId="0">'Veal'!$A$7518</definedName>
    <definedName name="_XBC5">#REF!</definedName>
    <definedName name="_XBC6" localSheetId="0">'Veal'!$A$7678</definedName>
    <definedName name="_XBC6">#REF!</definedName>
    <definedName name="_XBC7" localSheetId="0">'Veal'!$A$7838</definedName>
    <definedName name="_XBC7">#REF!</definedName>
    <definedName name="_XBC8" localSheetId="0">'Veal'!$A$7998</definedName>
    <definedName name="_XBC8">#REF!</definedName>
    <definedName name="_XBC9" localSheetId="0">'Veal'!$A$1</definedName>
    <definedName name="_XBC9">#REF!</definedName>
    <definedName name="AGENCY">#REF!</definedName>
    <definedName name="AGENCY1">#REF!</definedName>
    <definedName name="ALLO" localSheetId="0">'Veal'!$AP$6457:$AW$6468</definedName>
    <definedName name="ALLO">#REF!</definedName>
    <definedName name="ALLOAC" localSheetId="0">'Veal'!$P$6628</definedName>
    <definedName name="ALLOAC">#REF!</definedName>
    <definedName name="ALLOAC2" localSheetId="0">'Veal'!$P$6633</definedName>
    <definedName name="ALLOAC2">#REF!</definedName>
    <definedName name="ALLOAC3" localSheetId="0">'Veal'!$P$6634</definedName>
    <definedName name="ALLOAC3">#REF!</definedName>
    <definedName name="ALLOAC4" localSheetId="0">'Veal'!$P$6635</definedName>
    <definedName name="ALLOAC4">#REF!</definedName>
    <definedName name="ALLOAC5" localSheetId="0">'Veal'!$P$6636</definedName>
    <definedName name="ALLOAC5">#REF!</definedName>
    <definedName name="ALLOAC6" localSheetId="0">'Veal'!$P$6637</definedName>
    <definedName name="ALLOAC6">#REF!</definedName>
    <definedName name="ALLOAC7" localSheetId="0">'Veal'!$P$6638</definedName>
    <definedName name="ALLOAC7">#REF!</definedName>
    <definedName name="ALLOAC8" localSheetId="0">'Veal'!$P$6639</definedName>
    <definedName name="ALLOAC8">#REF!</definedName>
    <definedName name="ALLOACEND" localSheetId="0">'Veal'!$P$6640</definedName>
    <definedName name="ALLOACEND">#REF!</definedName>
    <definedName name="ALLOALL" localSheetId="0">'Veal'!$AP$6456:$AW$6468</definedName>
    <definedName name="ALLOALL">#REF!</definedName>
    <definedName name="ALLOENTER" localSheetId="0">'Veal'!$AP$6458:$AW$6468</definedName>
    <definedName name="ALLOENTER">#REF!</definedName>
    <definedName name="ALLOREC" localSheetId="0">'Veal'!$AO$6455</definedName>
    <definedName name="ALLOREC">#REF!</definedName>
    <definedName name="ALLOTOTAL" localSheetId="0">'Veal'!$AP$6458:$AX$6470</definedName>
    <definedName name="ALLOTOTAL">#REF!</definedName>
    <definedName name="allschedule">OFFSET('[1]Schedule'!$A$1,0,0,COUNTIF('[1]Schedule'!$G$13:$G$413,"&gt;0")+13,8)</definedName>
    <definedName name="ALTERNATE" localSheetId="0">'Veal'!$AC$6517</definedName>
    <definedName name="ALTERNATE">#REF!</definedName>
    <definedName name="AMARK" localSheetId="0">'Veal'!$P$6587</definedName>
    <definedName name="AMARK">#REF!</definedName>
    <definedName name="ANALNAME" localSheetId="0">'Veal'!$BU$6464</definedName>
    <definedName name="ANALNAME">#REF!</definedName>
    <definedName name="APPROVA1">#REF!</definedName>
    <definedName name="APPROVAL">#REF!</definedName>
    <definedName name="ASSIGN" localSheetId="0">'Veal'!$ID$6472</definedName>
    <definedName name="ASSIGN">#REF!</definedName>
    <definedName name="atat">#REF!</definedName>
    <definedName name="BACK" localSheetId="0">'Veal'!$P$6781</definedName>
    <definedName name="BACK">#REF!</definedName>
    <definedName name="BARLEY1">#REF!</definedName>
    <definedName name="basefat">#REF!</definedName>
    <definedName name="baseprotein">#REF!</definedName>
    <definedName name="BCALF1">'[2]BCALF'!$A$1:$K$200</definedName>
    <definedName name="BEARDRV" localSheetId="0">'Veal'!$P$6693</definedName>
    <definedName name="BEARDRV">#REF!</definedName>
    <definedName name="BRINGIN" localSheetId="0">'Veal'!$P$6469</definedName>
    <definedName name="BRINGIN">#REF!</definedName>
    <definedName name="BRINGINALL" localSheetId="0">'Veal'!$P$6455:$P$6494</definedName>
    <definedName name="BRINGINALL">#REF!</definedName>
    <definedName name="CALC">#REF!</definedName>
    <definedName name="CALC2">#REF!</definedName>
    <definedName name="CATTLE" localSheetId="0">'Veal'!$AC$6486</definedName>
    <definedName name="CATTLE">#REF!</definedName>
    <definedName name="CHATTEL">#REF!</definedName>
    <definedName name="CHATTEL1">#REF!</definedName>
    <definedName name="CHECK">#REF!</definedName>
    <definedName name="CHOICES" localSheetId="0">'Veal'!$AC$6619</definedName>
    <definedName name="CHOICES">#REF!</definedName>
    <definedName name="ChosenPayments">OFFSET('[1]Schedule'!$A$1,0,0,input+13,8)</definedName>
    <definedName name="closing_bbal">OFFSET('[1]Schedule'!$A$1,0,0,COUNTIF('[1]Schedule'!$G$13:$G$413,"&gt;5")+13,8)</definedName>
    <definedName name="COLE" localSheetId="0">'Veal'!$AC$6583</definedName>
    <definedName name="COLE">#REF!</definedName>
    <definedName name="compare_area">#REF!</definedName>
    <definedName name="contractmilk">#REF!</definedName>
    <definedName name="CORN1">'[3]CORN'!$A$1:$K$159</definedName>
    <definedName name="CORNER" localSheetId="0">'Veal'!$P$6463</definedName>
    <definedName name="CORNER">#REF!</definedName>
    <definedName name="CORR" localSheetId="0">#N/A</definedName>
    <definedName name="CORR">#N/A</definedName>
    <definedName name="COUNTER" localSheetId="0">'Veal'!$P$6461</definedName>
    <definedName name="COUNTER">#REF!</definedName>
    <definedName name="COUNTER2" localSheetId="0">'Veal'!$P$6496</definedName>
    <definedName name="COUNTER2">#REF!</definedName>
    <definedName name="CRIT" localSheetId="0">'Veal'!$AS$6500:$AS$6501</definedName>
    <definedName name="CRIT">#REF!</definedName>
    <definedName name="CRITERIA" localSheetId="0">'Veal'!$AT$46:$AT$47</definedName>
    <definedName name="Criteria_MI" localSheetId="0">'Veal'!$AT$46:$AT$47</definedName>
    <definedName name="Criteria_MI">#REF!</definedName>
    <definedName name="CROPS" localSheetId="0">'Veal'!$AC$6470</definedName>
    <definedName name="CROPS">#REF!</definedName>
    <definedName name="DATABASE" localSheetId="0">'Veal'!$AP$31:$BB$31</definedName>
    <definedName name="Database_MI" localSheetId="0">'Veal'!$AP$31:$BB$31</definedName>
    <definedName name="Database_MI">#REF!</definedName>
    <definedName name="DCHECK" localSheetId="0">'Veal'!$AC$6660:$AD$6664</definedName>
    <definedName name="DCHECK">#REF!</definedName>
    <definedName name="DCNT" localSheetId="0">'Veal'!$P$6502</definedName>
    <definedName name="DCNT">#REF!</definedName>
    <definedName name="deductions">#REF!</definedName>
    <definedName name="DEFAULT" localSheetId="0">'Veal'!$P$6577</definedName>
    <definedName name="DEFAULT">#REF!</definedName>
    <definedName name="DEPT1" localSheetId="0">'Veal'!$A$6619:$H$6686</definedName>
    <definedName name="DEPT1">#REF!</definedName>
    <definedName name="DGOAT1">'[4]DGOAT'!$A$1:$K$300</definedName>
    <definedName name="DHEIFER1">'[5]DHEIFER'!$A$1:$K$200</definedName>
    <definedName name="DOCS">#REF!</definedName>
    <definedName name="DOCS1">#REF!</definedName>
    <definedName name="DRIVES" localSheetId="0">'Veal'!$AC$6695:$AF$6701</definedName>
    <definedName name="DRIVES">#REF!</definedName>
    <definedName name="E_1" localSheetId="0">'Veal'!$P$6614</definedName>
    <definedName name="E_1">#REF!</definedName>
    <definedName name="ECHECK" localSheetId="0">'Veal'!$AC$6666:$AD$6670</definedName>
    <definedName name="ECHECK">#REF!</definedName>
    <definedName name="EditBoxPaymts">"Edit Box 47"</definedName>
    <definedName name="ENTERPRISE" localSheetId="0">'Veal'!$P$6464</definedName>
    <definedName name="ENTERPRISE">#REF!</definedName>
    <definedName name="ENTNAME" localSheetId="0">'Veal'!$P$6465</definedName>
    <definedName name="ENTNAME">#REF!</definedName>
    <definedName name="ENTNO" localSheetId="0">'Veal'!$P$6466</definedName>
    <definedName name="ENTNO">#REF!</definedName>
    <definedName name="ENTS" localSheetId="0">'Veal'!$AC$6462</definedName>
    <definedName name="ENTS">#REF!</definedName>
    <definedName name="ERASE" localSheetId="0">'Veal'!$P$6552</definedName>
    <definedName name="ERASE">#REF!</definedName>
    <definedName name="ERRMSG" localSheetId="0">'Veal'!$P$6850</definedName>
    <definedName name="ERRMSG">#REF!</definedName>
    <definedName name="ESCROUTE" localSheetId="0">'Veal'!$P$6836</definedName>
    <definedName name="ESCROUTE">#REF!</definedName>
    <definedName name="EVERGREEN">'[6]turkey'!$AC$6630:$AE$6634</definedName>
    <definedName name="EXCLUDE" localSheetId="0">'Veal'!$ID$6590</definedName>
    <definedName name="EXCLUDE">#REF!</definedName>
    <definedName name="EXPORT" localSheetId="0">'Veal'!$ID$6460</definedName>
    <definedName name="EXPORT">#REF!</definedName>
    <definedName name="FARM" localSheetId="0">'Veal'!$AC$6629</definedName>
    <definedName name="FARM">#REF!</definedName>
    <definedName name="FARMNAME" localSheetId="0">'Veal'!$BU$6461</definedName>
    <definedName name="FARMNAME">#REF!</definedName>
    <definedName name="FIELD" localSheetId="0">'Veal'!$AO$6485:$BA$6493</definedName>
    <definedName name="FIELD">#REF!</definedName>
    <definedName name="FILE_EXT" localSheetId="0">'Veal'!$P$6580</definedName>
    <definedName name="FILE_EXT">#REF!</definedName>
    <definedName name="FILE_PATH" localSheetId="0">'Veal'!$P$6477</definedName>
    <definedName name="FILE_PATH">#REF!</definedName>
    <definedName name="FILEOPS" localSheetId="0">'Veal'!$AC$6636:$AJ$6641</definedName>
    <definedName name="FILEOPS">#REF!</definedName>
    <definedName name="first">'[1]Schedule'!$N$3</definedName>
    <definedName name="FNAME" localSheetId="0">'Veal'!$P$6691</definedName>
    <definedName name="FNAME">#REF!</definedName>
    <definedName name="FORAGE" localSheetId="0">'Veal'!$AC$6541</definedName>
    <definedName name="FORAGE">#REF!</definedName>
    <definedName name="FORMAT" localSheetId="0">'Veal'!$AC$6709</definedName>
    <definedName name="FORMAT">#REF!</definedName>
    <definedName name="FRUIT" localSheetId="0">'Veal'!$AC$6556</definedName>
    <definedName name="FRUIT">#REF!</definedName>
    <definedName name="GAFFE10" localSheetId="0">'Veal'!$P$6773</definedName>
    <definedName name="GAFFE10">#REF!</definedName>
    <definedName name="GAFFE2" localSheetId="0">'Veal'!$P$6734</definedName>
    <definedName name="GAFFE2">#REF!</definedName>
    <definedName name="GAFFE3" localSheetId="0">'Veal'!$P$6739</definedName>
    <definedName name="GAFFE3">#REF!</definedName>
    <definedName name="GAFFE4" localSheetId="0">'Veal'!$P$6745</definedName>
    <definedName name="GAFFE4">#REF!</definedName>
    <definedName name="GAFFE5" localSheetId="0">'Veal'!$P$6749</definedName>
    <definedName name="GAFFE5">#REF!</definedName>
    <definedName name="GAFFE6" localSheetId="0">'Veal'!$P$6753</definedName>
    <definedName name="GAFFE6">#REF!</definedName>
    <definedName name="GAFFE7" localSheetId="0">'Veal'!$P$6757</definedName>
    <definedName name="GAFFE7">#REF!</definedName>
    <definedName name="GAFFE8" localSheetId="0">'Veal'!$P$6765</definedName>
    <definedName name="GAFFE8">#REF!</definedName>
    <definedName name="GAFFE9" localSheetId="0">'Veal'!$P$6769</definedName>
    <definedName name="GAFFE9">#REF!</definedName>
    <definedName name="GFRUIT" localSheetId="0">'Veal'!$AC$6571</definedName>
    <definedName name="GFRUIT">#REF!</definedName>
    <definedName name="GOATS" localSheetId="0">'Veal'!$AC$6504</definedName>
    <definedName name="GOATS">#REF!</definedName>
    <definedName name="GRAIN" localSheetId="0">'Veal'!$AC$6523</definedName>
    <definedName name="GRAIN">#REF!</definedName>
    <definedName name="GRAPES">'[6]turkey'!$AC$6593:$AG$6597</definedName>
    <definedName name="graph_closebal">OFFSET('[1]Schedule'!$G$13,0,0,COUNTIF('[1]Schedule'!$G$13:$G$413,"&gt;5")+1,1)</definedName>
    <definedName name="HELP" localSheetId="0">'Veal'!$BH$6455:$BO$6474</definedName>
    <definedName name="HELP">#REF!</definedName>
    <definedName name="HORT" localSheetId="0">'Veal'!$AC$6547</definedName>
    <definedName name="HORT">#REF!</definedName>
    <definedName name="I">#REF!</definedName>
    <definedName name="ID" localSheetId="0">'Veal'!$AP$6456:$AW$6457</definedName>
    <definedName name="ID">#REF!</definedName>
    <definedName name="IFF" localSheetId="0">'Veal'!$P$6471</definedName>
    <definedName name="IFF">#REF!</definedName>
    <definedName name="INPUT" localSheetId="0">'Veal'!$P$6462</definedName>
    <definedName name="input">'[1]Schedule'!$R$2</definedName>
    <definedName name="int_pmt">OFFSET('[1]Schedule'!$D$13,0,0,COUNTIF('[1]Schedule'!$G$14:$G$413,"&gt;5")+2)</definedName>
    <definedName name="InterestTD">OFFSET('[1]Schedule'!$A$13,first,3,last-first+1,1)</definedName>
    <definedName name="J">#REF!</definedName>
    <definedName name="JUNK" localSheetId="0">'Veal'!$P$6692</definedName>
    <definedName name="JUNK">#REF!</definedName>
    <definedName name="K">#REF!</definedName>
    <definedName name="KEY" localSheetId="0">'Veal'!$P$6789</definedName>
    <definedName name="KEY">#REF!</definedName>
    <definedName name="KEYLIST" localSheetId="0">'Veal'!$P$6791:$P$6803</definedName>
    <definedName name="KEYLIST">#REF!</definedName>
    <definedName name="L">#REF!</definedName>
    <definedName name="last">'[1]Schedule'!$N$4</definedName>
    <definedName name="LASTCELL" localSheetId="0">'Veal'!$P$6625</definedName>
    <definedName name="lastcell">#REF!</definedName>
    <definedName name="LAYER1">'[8]LAYER'!$A$1:$K$300</definedName>
    <definedName name="LCNT" localSheetId="0">'Veal'!$P$6503</definedName>
    <definedName name="LCNT">#REF!</definedName>
    <definedName name="LCOUNT" localSheetId="0">'Veal'!$P$6459</definedName>
    <definedName name="LCOUNT">#REF!</definedName>
    <definedName name="LIABILITY">#REF!</definedName>
    <definedName name="LINE" localSheetId="0">'Veal'!$AO$6504:$BA$6504</definedName>
    <definedName name="LINE">#REF!</definedName>
    <definedName name="LININ" localSheetId="0">'Veal'!$AO$6493:$BA$6493</definedName>
    <definedName name="LININ">#REF!</definedName>
    <definedName name="LIVESTOCK" localSheetId="0">'Veal'!$AC$6478</definedName>
    <definedName name="LIVESTOCK">#REF!</definedName>
    <definedName name="LOAN1" localSheetId="0">'Veal'!$A$6779:$H$6839</definedName>
    <definedName name="LOAN1">#REF!</definedName>
    <definedName name="LOGO" localSheetId="0">'Veal'!$AZ$6455:$BG$6474</definedName>
    <definedName name="LOGO">#REF!</definedName>
    <definedName name="M">#REF!</definedName>
    <definedName name="MACROBLOCK" localSheetId="0">'Veal'!$P$6455:$P$6850</definedName>
    <definedName name="MACROBLOCK">#REF!</definedName>
    <definedName name="MARKER1" localSheetId="0">'Veal'!$P$6609</definedName>
    <definedName name="MARKER1">#REF!</definedName>
    <definedName name="max_area">#REF!</definedName>
    <definedName name="MENUBLOCK" localSheetId="0">'Veal'!$AC$6455:$AJ$6719</definedName>
    <definedName name="MENUBLOCK">#REF!</definedName>
    <definedName name="MESSAGE" localSheetId="0">'Veal'!$P$6847</definedName>
    <definedName name="MESSAGE">#REF!</definedName>
    <definedName name="MGOAT1">#REF!</definedName>
    <definedName name="milkproduced">#REF!</definedName>
    <definedName name="NAME" localSheetId="0">'Veal'!$BP$6455:$BW$6474</definedName>
    <definedName name="NAME">#REF!</definedName>
    <definedName name="NO" localSheetId="0">'Veal'!$P$6497</definedName>
    <definedName name="NO">#REF!</definedName>
    <definedName name="NOREC" localSheetId="0">'Veal'!$AC$6456:$AJ$6456</definedName>
    <definedName name="NOREC">#REF!</definedName>
    <definedName name="NUMBER" localSheetId="0">'Veal'!$P$6498</definedName>
    <definedName name="NUMBER">#REF!</definedName>
    <definedName name="NUR">'[6]turkey'!$AC$6564:$AG$6571</definedName>
    <definedName name="OATS1">#REF!</definedName>
    <definedName name="OILS" localSheetId="0">'Veal'!$AC$6529</definedName>
    <definedName name="OILS">#REF!</definedName>
    <definedName name="option_pmts">"Option Button 43"</definedName>
    <definedName name="OPTIONS">#REF!</definedName>
    <definedName name="OTHER" localSheetId="0">'Veal'!$AC$6607</definedName>
    <definedName name="OTHER">#REF!</definedName>
    <definedName name="OTHERLVSTK" localSheetId="0">'Veal'!$AC$6613:$AD$6617</definedName>
    <definedName name="OTHERLVSTK">#REF!</definedName>
    <definedName name="OTHERVEG" localSheetId="0">'Veal'!$AC$6595</definedName>
    <definedName name="OTHERVEG">#REF!</definedName>
    <definedName name="OTHRFRT" localSheetId="0">'Veal'!$AC$6577</definedName>
    <definedName name="OTHRFRT">#REF!</definedName>
    <definedName name="P">#REF!</definedName>
    <definedName name="P_ALLO" localSheetId="0">'Veal'!$AO$6455:$AX$6474</definedName>
    <definedName name="P_ALLO">#REF!</definedName>
    <definedName name="P_DEP_N" localSheetId="0">'Veal'!$A$6619:$H$6645</definedName>
    <definedName name="P_DEP_N">#REF!</definedName>
    <definedName name="P_LOANS" localSheetId="0">'Veal'!$A$6779:$H$6817</definedName>
    <definedName name="P_LOANS">#REF!</definedName>
    <definedName name="P_RANGE" localSheetId="0">'Veal'!$P$6467</definedName>
    <definedName name="P_RANGE">#REF!</definedName>
    <definedName name="P_TRANS" localSheetId="0">'Veal'!$CN$6455:$CU$6467</definedName>
    <definedName name="P_TRANS">#REF!</definedName>
    <definedName name="P_WFC" localSheetId="0">'Veal'!$A$6459:$H$6510</definedName>
    <definedName name="P_WFC">#REF!</definedName>
    <definedName name="P_WFS" localSheetId="0">'Veal'!$A$6547:$H$6604</definedName>
    <definedName name="P_WFS">#REF!</definedName>
    <definedName name="PASSWORD" localSheetId="0">'Veal'!$P$6468</definedName>
    <definedName name="PASSWORD">#REF!</definedName>
    <definedName name="PASTUR1">'[9]PASTUR'!$A$1:$K$159</definedName>
    <definedName name="PAY">#REF!</definedName>
    <definedName name="PCHECK" localSheetId="0">'Veal'!$AC$6672:$AD$6676</definedName>
    <definedName name="PCHECK">#REF!</definedName>
    <definedName name="PEABEAN" localSheetId="0">'Veal'!$AC$6601</definedName>
    <definedName name="PEABEAN">#REF!</definedName>
    <definedName name="PERCENT" localSheetId="0">'Veal'!$P$6626</definedName>
    <definedName name="PERCENT">#REF!</definedName>
    <definedName name="PIGS" localSheetId="0">'Veal'!$AC$6492</definedName>
    <definedName name="PIGS">#REF!</definedName>
    <definedName name="pmt_no">OFFSET('[1]Schedule'!$A$13,0,0,COUNTIF('[1]Schedule'!$G$13:$G$413,"&gt;5")+1,1)</definedName>
    <definedName name="pmt_no2">OFFSET('[1]Schedule'!$A$14,0,0,COUNTIF('[1]Schedule'!$G$14:$G$413,"&gt;5")+1,1)</definedName>
    <definedName name="POULTRY" localSheetId="0">'Veal'!$AC$6510</definedName>
    <definedName name="POULTRY">#REF!</definedName>
    <definedName name="PREPARE" localSheetId="0">'Veal'!$ID$6572</definedName>
    <definedName name="PREPARE">#REF!</definedName>
    <definedName name="PREPDATE" localSheetId="0">'Veal'!$BU$6463</definedName>
    <definedName name="PREPDATE">#REF!</definedName>
    <definedName name="princ_pmt">OFFSET('[1]Schedule'!$E$13,0,0,COUNTIF('[1]Schedule'!$G$14:$G$413,"&gt;5")+2,1)</definedName>
    <definedName name="principalTD">OFFSET('[1]Schedule'!$A$13,first,4,last-first+1,1)</definedName>
    <definedName name="PRINT" localSheetId="0">'Veal'!$P$6696:$P$6706</definedName>
    <definedName name="PRINT">#REF!</definedName>
    <definedName name="_xlnm.Print_Area" localSheetId="0">'Veal'!$A$1:$H$158</definedName>
    <definedName name="Print_Area_MI" localSheetId="0">'Veal'!$B$1741:$I$1857</definedName>
    <definedName name="PRINT_AREA_MI">#REF!</definedName>
    <definedName name="PRINTALL" localSheetId="0">'Veal'!$P$6708:$P$6722</definedName>
    <definedName name="PRINTALL">#REF!</definedName>
    <definedName name="PRINTENT" localSheetId="0">'Veal'!$P$6724:$P$6727</definedName>
    <definedName name="PRINTENT">#REF!</definedName>
    <definedName name="PRINTMENU" localSheetId="0">'Veal'!$AC$6678</definedName>
    <definedName name="PRINTMENU">#REF!</definedName>
    <definedName name="PRTCHOICE" localSheetId="0">'Veal'!$AC$6688</definedName>
    <definedName name="PRTCHOICE">#REF!</definedName>
    <definedName name="PULLET1">'[10]PULLET'!$A$1:$K$300</definedName>
    <definedName name="PULSES" localSheetId="0">'Veal'!$AC$6535</definedName>
    <definedName name="PULSES">#REF!</definedName>
    <definedName name="QCHOICE" localSheetId="0">'Veal'!$AC$6703:$AE$6707</definedName>
    <definedName name="QCHOICE">#REF!</definedName>
    <definedName name="QUOTAT">#REF!</definedName>
    <definedName name="QUOTAT1">#REF!</definedName>
    <definedName name="QUOTAU">#REF!</definedName>
    <definedName name="QUOTAU1">#REF!</definedName>
    <definedName name="R_">#REF!</definedName>
    <definedName name="RECORD" localSheetId="0">'Veal'!$AC$6457:$AJ$6457</definedName>
    <definedName name="RECORD">#REF!</definedName>
    <definedName name="RET" localSheetId="0">'Veal'!$P$6606:$P$6610</definedName>
    <definedName name="RET">#REF!</definedName>
    <definedName name="ROLL">#REF!</definedName>
    <definedName name="ROOT" localSheetId="0">'Veal'!$AC$6589</definedName>
    <definedName name="ROOT">#REF!</definedName>
    <definedName name="SAVE" localSheetId="0">'Veal'!$P$6661</definedName>
    <definedName name="SAVE">#REF!</definedName>
    <definedName name="SAVE1" localSheetId="0">'Veal'!$P$6662</definedName>
    <definedName name="SAVE1">#REF!</definedName>
    <definedName name="SAVE2" localSheetId="0">'Veal'!$P$6664</definedName>
    <definedName name="SAVE2">#REF!</definedName>
    <definedName name="SCHOICE" localSheetId="0">'Veal'!$AC$6652:$AE$6654</definedName>
    <definedName name="SCHOICE">#REF!</definedName>
    <definedName name="SECURITY">#REF!</definedName>
    <definedName name="SECURITY1">#REF!</definedName>
    <definedName name="SELECT" localSheetId="0">'Veal'!$P$6826</definedName>
    <definedName name="SELECT">#REF!</definedName>
    <definedName name="SELECTERR" localSheetId="0">'Veal'!$P$6808</definedName>
    <definedName name="SELECTERR">#REF!</definedName>
    <definedName name="SELECTMSG" localSheetId="0">'Veal'!$P$6805</definedName>
    <definedName name="SELECTMSG">#REF!</definedName>
    <definedName name="SEND" localSheetId="0">'Veal'!$O$6714:$Z$6722</definedName>
    <definedName name="SEND">#REF!</definedName>
    <definedName name="SEND2" localSheetId="0">'Veal'!$ID$6520:$ID$6567</definedName>
    <definedName name="SEND2">#REF!</definedName>
    <definedName name="SHADE">'[6]turkey'!$AC$6636:$AD$6640</definedName>
    <definedName name="SHEEP" localSheetId="0">'Veal'!$AC$6498</definedName>
    <definedName name="SHEEP">#REF!</definedName>
    <definedName name="SHRUB">'[6]turkey'!$AC$6642:$AD$6646</definedName>
    <definedName name="SILAGE1">'[11]SILAGE'!$A$1:$K$159</definedName>
    <definedName name="SpinnerPaymts">"Spinner 52"</definedName>
    <definedName name="STOCK">#REF!</definedName>
    <definedName name="STOCK1">#REF!</definedName>
    <definedName name="STOCK2">#REF!</definedName>
    <definedName name="STYPE" localSheetId="0">'Veal'!$AC$6643</definedName>
    <definedName name="STYPE">#REF!</definedName>
    <definedName name="SUBR" localSheetId="0">'Veal'!$P$6505</definedName>
    <definedName name="SUBR">#REF!</definedName>
    <definedName name="SWHEAT1">#REF!</definedName>
    <definedName name="TCOUNT" localSheetId="0">'Veal'!$P$6460</definedName>
    <definedName name="TCOUNT">#REF!</definedName>
    <definedName name="TFRUIT" localSheetId="0">'Veal'!$AC$6565</definedName>
    <definedName name="TFRUIT">#REF!</definedName>
    <definedName name="TIMES" localSheetId="0">'Veal'!$ID$6587</definedName>
    <definedName name="TIMES">#REF!</definedName>
    <definedName name="TMARK" localSheetId="0">'Veal'!$P$6586</definedName>
    <definedName name="TMARK">#REF!</definedName>
    <definedName name="TO_CELL" localSheetId="0">'Veal'!$P$6641</definedName>
    <definedName name="TO_CELL">#REF!</definedName>
    <definedName name="TRANS" localSheetId="0">'Veal'!$CN$6455:$CU$6467</definedName>
    <definedName name="TRANS">#REF!</definedName>
    <definedName name="TRANSF" localSheetId="0">'Veal'!$CP$6456:$CS$6467</definedName>
    <definedName name="TRANSF">#REF!</definedName>
    <definedName name="TREC" localSheetId="0">'Veal'!$AC$6456:$AJ$6457</definedName>
    <definedName name="TREC">#REF!</definedName>
    <definedName name="TURKEY1">'[6]turkey'!$A$1:$K$300</definedName>
    <definedName name="UPDATE" localSheetId="0">'Veal'!$P$6516</definedName>
    <definedName name="UPDATE">#REF!</definedName>
    <definedName name="VEAL1" localSheetId="0">'Veal'!$A$1:$K$201</definedName>
    <definedName name="VEAL1">#REF!</definedName>
    <definedName name="VEG" localSheetId="0">'Veal'!$AC$6547</definedName>
    <definedName name="VEG">#REF!</definedName>
    <definedName name="VINE">'[9]PASTUR'!$AC$7921</definedName>
    <definedName name="WFARMC" localSheetId="0">'Veal'!$A$6459</definedName>
    <definedName name="WFARMC">#REF!</definedName>
    <definedName name="WFARMS" localSheetId="0">'Veal'!$A$6547</definedName>
    <definedName name="WFARMS">#REF!</definedName>
    <definedName name="WMARK" localSheetId="0">'Veal'!$P$6587</definedName>
    <definedName name="WMARK">#REF!</definedName>
    <definedName name="WORKDRV" localSheetId="0">'Veal'!$P$6694</definedName>
    <definedName name="WORKDRV">#REF!</definedName>
    <definedName name="WORKNOS" localSheetId="0">'Veal'!$AO$6486:$AO$6493</definedName>
    <definedName name="WORKNOS">#REF!</definedName>
    <definedName name="WORKNUMS" localSheetId="0">'Veal'!$AQ$6486:$BA$6493</definedName>
    <definedName name="WORKNUMS">#REF!</definedName>
    <definedName name="WORKON" localSheetId="0">'Veal'!$AO$6486:$BA$6493</definedName>
    <definedName name="WORKON">#REF!</definedName>
    <definedName name="WWHEAT1">#REF!</definedName>
    <definedName name="XCHOICE" localSheetId="0">'Veal'!$AC$6656:$AE$6658</definedName>
    <definedName name="XCHOICE">#REF!</definedName>
    <definedName name="XDATA" localSheetId="0">'Veal'!$IL$6472:$IL$6570</definedName>
    <definedName name="XDATA">#REF!</definedName>
    <definedName name="XNAME" localSheetId="0">'Veal'!$P$6690</definedName>
    <definedName name="XNAME">#REF!</definedName>
    <definedName name="XSAVE" localSheetId="0">'Veal'!$P$6675</definedName>
    <definedName name="XSAVE">#REF!</definedName>
    <definedName name="XSAVE1" localSheetId="0">'Veal'!$P$6676</definedName>
    <definedName name="XSAVE1">#REF!</definedName>
    <definedName name="XSAVE2" localSheetId="0">'Veal'!$P$6678</definedName>
    <definedName name="XSAVE2">#REF!</definedName>
    <definedName name="YES" localSheetId="0">'Veal'!$P$6500</definedName>
    <definedName name="YES">#REF!</definedName>
    <definedName name="yourquota">#REF!</definedName>
  </definedNames>
  <calcPr fullCalcOnLoad="1"/>
</workbook>
</file>

<file path=xl/sharedStrings.xml><?xml version="1.0" encoding="utf-8"?>
<sst xmlns="http://schemas.openxmlformats.org/spreadsheetml/2006/main" count="255" uniqueCount="189">
  <si>
    <t>Revised: June 94</t>
  </si>
  <si>
    <t>cents/lb</t>
  </si>
  <si>
    <t>-</t>
  </si>
  <si>
    <t>Tran!D3..G14</t>
  </si>
  <si>
    <t>Allo!C3..J14</t>
  </si>
  <si>
    <t>+ / -</t>
  </si>
  <si>
    <t xml:space="preserve"> -------</t>
  </si>
  <si>
    <t xml:space="preserve">       #2</t>
  </si>
  <si>
    <t xml:space="preserve">       #3</t>
  </si>
  <si>
    <t xml:space="preserve">       #4</t>
  </si>
  <si>
    <t xml:space="preserve">       #5</t>
  </si>
  <si>
    <t xml:space="preserve"> Crop Transfers (based on </t>
  </si>
  <si>
    <t>head)</t>
  </si>
  <si>
    <t>*** (Input ONLY if NOT using Crop Transfer table) ***</t>
  </si>
  <si>
    <t xml:space="preserve"> </t>
  </si>
  <si>
    <t>Number of Head to Base Following Variable Costs on ==&gt; **</t>
  </si>
  <si>
    <t>**(Enter the herd size used to determine the variable costs.)</t>
  </si>
  <si>
    <t>Wfarm!L4</t>
  </si>
  <si>
    <t>Wfarm!L5</t>
  </si>
  <si>
    <t>Wfarm!L6</t>
  </si>
  <si>
    <t>Wfarm!L7</t>
  </si>
  <si>
    <t>Wfarm!L8</t>
  </si>
  <si>
    <t>Wfarm!L9</t>
  </si>
  <si>
    <t xml:space="preserve"> Enterprise</t>
  </si>
  <si>
    <t xml:space="preserve"> $ Allocated</t>
  </si>
  <si>
    <t>Wfarm!K4</t>
  </si>
  <si>
    <t>Wfarm!K5</t>
  </si>
  <si>
    <t>Wfarm!K6</t>
  </si>
  <si>
    <t>Wfarm!K7</t>
  </si>
  <si>
    <t xml:space="preserve">  ------</t>
  </si>
  <si>
    <t>sumother</t>
  </si>
  <si>
    <t>vcost1</t>
  </si>
  <si>
    <t>vcost2</t>
  </si>
  <si>
    <t>BEcatpur</t>
  </si>
  <si>
    <t>tr1</t>
  </si>
  <si>
    <t xml:space="preserve">   b.e.</t>
  </si>
  <si>
    <t xml:space="preserve"> +profit</t>
  </si>
  <si>
    <t xml:space="preserve"> ¬ price</t>
  </si>
  <si>
    <t>tr2</t>
  </si>
  <si>
    <t>tr3</t>
  </si>
  <si>
    <t>dlvar1</t>
  </si>
  <si>
    <t>dlvar2</t>
  </si>
  <si>
    <t>dlvar3</t>
  </si>
  <si>
    <t>catpurvar</t>
  </si>
  <si>
    <t xml:space="preserve">       17 %</t>
  </si>
  <si>
    <t>pricevar</t>
  </si>
  <si>
    <t xml:space="preserve">       33 %</t>
  </si>
  <si>
    <t>dofvar</t>
  </si>
  <si>
    <t xml:space="preserve">       50 %</t>
  </si>
  <si>
    <t>sumstd</t>
  </si>
  <si>
    <t xml:space="preserve">       67 %</t>
  </si>
  <si>
    <t>hdstd</t>
  </si>
  <si>
    <t xml:space="preserve">       83 %</t>
  </si>
  <si>
    <t>z</t>
  </si>
  <si>
    <t>v1</t>
  </si>
  <si>
    <t>v2</t>
  </si>
  <si>
    <t>%</t>
  </si>
  <si>
    <t>p(vx)</t>
  </si>
  <si>
    <t/>
  </si>
  <si>
    <t>Veau 1</t>
  </si>
  <si>
    <t>BUDGET POUR VEAU DE GRAIN</t>
  </si>
  <si>
    <t>Rend./veau</t>
  </si>
  <si>
    <t>Cet outil de calcul sert à l'analyse de l'achat d'un lot de veaux de boucherie.</t>
  </si>
  <si>
    <t>La période de production est divisée en deux phases (sevrage et finition). Si une seule phase est utilisée,</t>
  </si>
  <si>
    <t xml:space="preserve">l'esprit que si une seule phase est utilisée, vosu devez vous assurer que le % de veaux vendus en fin de phase </t>
  </si>
  <si>
    <t>Chaque exploitant peut modifier les nombres en bleu pour refléter les données de son entreprise.</t>
  </si>
  <si>
    <t>Nombre de veaux achetés</t>
  </si>
  <si>
    <t>Prix d'achat prévu</t>
  </si>
  <si>
    <t>Poids moyen des veaux achetés</t>
  </si>
  <si>
    <t>Phase 1</t>
  </si>
  <si>
    <t>Phase 2</t>
  </si>
  <si>
    <t>Prévisions</t>
  </si>
  <si>
    <t>% de veaux vendus en fin de phase</t>
  </si>
  <si>
    <t>Poids (lb) en fin de phase</t>
  </si>
  <si>
    <t xml:space="preserve">Valeur (cents/lb) en fin de phase </t>
  </si>
  <si>
    <t>Freinte prévue (% du poids vif)</t>
  </si>
  <si>
    <t>Taux de mortalité (%)</t>
  </si>
  <si>
    <t>Durée (jours) de la phase</t>
  </si>
  <si>
    <t>Nbre de têtes en début de phase</t>
  </si>
  <si>
    <t>Évaluation des risques pour chaque phase</t>
  </si>
  <si>
    <t>Quelle serait une fourchette de variation normale entre le meilleur et le pire des scénarios pour :</t>
  </si>
  <si>
    <t>le taux de mortalité :</t>
  </si>
  <si>
    <t>% du taux prévu</t>
  </si>
  <si>
    <t>le prix d'achat des veaux :</t>
  </si>
  <si>
    <t>% du prix prévu</t>
  </si>
  <si>
    <t xml:space="preserve">le prix de vente des veaux : </t>
  </si>
  <si>
    <t>% du gain prévu</t>
  </si>
  <si>
    <t>CHARGES</t>
  </si>
  <si>
    <t>Charges variables :</t>
  </si>
  <si>
    <t xml:space="preserve"> |--- kg/tête ---|</t>
  </si>
  <si>
    <t>kg/tête</t>
  </si>
  <si>
    <t>$/an</t>
  </si>
  <si>
    <t>$/tonne</t>
  </si>
  <si>
    <t>Moy. aliments</t>
  </si>
  <si>
    <t>Aliments achetés :</t>
  </si>
  <si>
    <t>Aliment d'allaitement</t>
  </si>
  <si>
    <t>Démarrage</t>
  </si>
  <si>
    <t>Maïs égrené</t>
  </si>
  <si>
    <t xml:space="preserve"> Autre #1</t>
  </si>
  <si>
    <t>Concentré 36 %</t>
  </si>
  <si>
    <t>Autre #1</t>
  </si>
  <si>
    <t>Autre #2</t>
  </si>
  <si>
    <t>Aliments produits à la ferme :</t>
  </si>
  <si>
    <t xml:space="preserve"> Autre #2</t>
  </si>
  <si>
    <t>Coût total des aliments</t>
  </si>
  <si>
    <t>Moy. médic.</t>
  </si>
  <si>
    <t>$/tête</t>
  </si>
  <si>
    <t>Médicaments et vitamines :</t>
  </si>
  <si>
    <t xml:space="preserve"> Électrolytes, prémélanges médicamenteux</t>
  </si>
  <si>
    <t xml:space="preserve"> Vaccins</t>
  </si>
  <si>
    <t>Coût total des médicaments</t>
  </si>
  <si>
    <t>$/veau</t>
  </si>
  <si>
    <t xml:space="preserve"> $/veau</t>
  </si>
  <si>
    <t>Valeur type</t>
  </si>
  <si>
    <t xml:space="preserve"> Main-d'oeuvre engagée</t>
  </si>
  <si>
    <t xml:space="preserve"> Assurance sur les animaux</t>
  </si>
  <si>
    <t xml:space="preserve"> Commercialisation et transport</t>
  </si>
  <si>
    <t xml:space="preserve"> Litière</t>
  </si>
  <si>
    <t xml:space="preserve"> Travail à forfait</t>
  </si>
  <si>
    <t xml:space="preserve"> Location de matériel</t>
  </si>
  <si>
    <t xml:space="preserve"> Autre</t>
  </si>
  <si>
    <t xml:space="preserve"> Coût prévu des veaux</t>
  </si>
  <si>
    <t>acheté</t>
  </si>
  <si>
    <t xml:space="preserve"> Répar. et entretien de la machinerie</t>
  </si>
  <si>
    <t xml:space="preserve"> Répar. et entretien des bâtiments</t>
  </si>
  <si>
    <t xml:space="preserve"> Location et main-d'oeuvre</t>
  </si>
  <si>
    <t xml:space="preserve"> Charges variables générales</t>
  </si>
  <si>
    <t xml:space="preserve"> Intérêts sur</t>
  </si>
  <si>
    <t>% d'int.</t>
  </si>
  <si>
    <t xml:space="preserve"> fonds d'exploitation</t>
  </si>
  <si>
    <t>Total des charges variables</t>
  </si>
  <si>
    <t>Charges fixes :</t>
  </si>
  <si>
    <t xml:space="preserve"> Amortissement</t>
  </si>
  <si>
    <t xml:space="preserve"> Intérêts sur prêts à terme</t>
  </si>
  <si>
    <t xml:space="preserve"> Contrats de location à long terme</t>
  </si>
  <si>
    <t xml:space="preserve"> Charges fixes générales</t>
  </si>
  <si>
    <t>Total des charges fixes</t>
  </si>
  <si>
    <t>Produits :</t>
  </si>
  <si>
    <t>Total des produits prévus</t>
  </si>
  <si>
    <t xml:space="preserve">    moins : Charges variables</t>
  </si>
  <si>
    <t>Marge prévue</t>
  </si>
  <si>
    <t xml:space="preserve">    moins : Charges fixes</t>
  </si>
  <si>
    <t>Bénéfice net prévu</t>
  </si>
  <si>
    <t>Point mort (cents/lb)</t>
  </si>
  <si>
    <t>Charges</t>
  </si>
  <si>
    <t>variables</t>
  </si>
  <si>
    <t>totales</t>
  </si>
  <si>
    <t xml:space="preserve">     Fin de la phase 1</t>
  </si>
  <si>
    <t xml:space="preserve">     Fin de la phase 2</t>
  </si>
  <si>
    <t>Coefficient de variation               ==&gt;</t>
  </si>
  <si>
    <t>Rendement : $ par</t>
  </si>
  <si>
    <t>veau acheté</t>
  </si>
  <si>
    <t>ce rendement/tête</t>
  </si>
  <si>
    <t>Compte tenu des produits et des charges qui précèdent,</t>
  </si>
  <si>
    <t>cents/lb,</t>
  </si>
  <si>
    <t>si les veaux sont achetés au prix de</t>
  </si>
  <si>
    <t xml:space="preserve">le rendement sera de </t>
  </si>
  <si>
    <t>Probabilités d'atteindre au moins le point mort :</t>
  </si>
  <si>
    <t>Révisé par :</t>
  </si>
  <si>
    <t>John Molenhuis, chargé de programme, analyse des activités commerciales et des coûts de production</t>
  </si>
  <si>
    <t>1 877 424-1300</t>
  </si>
  <si>
    <t xml:space="preserve"> Grain #1</t>
  </si>
  <si>
    <t xml:space="preserve"> Grain #2</t>
  </si>
  <si>
    <t>Centre d'information agricole</t>
  </si>
  <si>
    <t>c.-à-d. si vous achetez des veaux semi-finis, inscrivez toutes les données sous Phase 1 en prenant soin de</t>
  </si>
  <si>
    <t xml:space="preserve">est de 100 % pour la phase 1, étant donné qu'il n'existe alors pas de phase 2. Le budget ne prendra alors en  </t>
  </si>
  <si>
    <t>compte aucun nombre indiqué dans la colonne Phase 2.</t>
  </si>
  <si>
    <t>lb</t>
  </si>
  <si>
    <t>têtes</t>
  </si>
  <si>
    <t>% des récoltes reportées par phase</t>
  </si>
  <si>
    <t xml:space="preserve"> Médicaments</t>
  </si>
  <si>
    <t>nécessaire pour couvrir :</t>
  </si>
  <si>
    <t>Probabilités d'au moins</t>
  </si>
  <si>
    <t xml:space="preserve">Probabilités d'atteindre </t>
  </si>
  <si>
    <t>dollar(s)/tête de rendement</t>
  </si>
  <si>
    <t>dollar(s)/tête</t>
  </si>
  <si>
    <t>Pour plus d'information, veuillez communiquer avec le :</t>
  </si>
  <si>
    <t>modifier le poids, le GMQ, le taux de mortalité, etc. en fonction de cette phase en particulier. Veuillez garder à</t>
  </si>
  <si>
    <t>le gain moyen quotidien :</t>
  </si>
  <si>
    <t>Gain moyen quotidien (lb)</t>
  </si>
  <si>
    <t>Probabilités d'atteindre au moins le point mort      ==&gt;</t>
  </si>
  <si>
    <t>ag.info@omafra.gov.on.ca</t>
  </si>
  <si>
    <t>Brian Lang, spécialiste de la production du veau</t>
  </si>
  <si>
    <t xml:space="preserve"> Carburant / électicité</t>
  </si>
  <si>
    <t>(100-150 lb)</t>
  </si>
  <si>
    <t xml:space="preserve"> ( 150-700 lb )</t>
  </si>
  <si>
    <t>Revisé : juillet 2008</t>
  </si>
  <si>
    <t xml:space="preserve"> |------------- $/tête-------------|</t>
  </si>
  <si>
    <t xml:space="preserve"> |------------ kg/tête ------------|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</si>
</sst>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;;;"/>
    <numFmt numFmtId="168" formatCode="0_)"/>
    <numFmt numFmtId="169" formatCode="&quot;$&quot;#,##0.000_);\(&quot;$&quot;#,##0.000\)"/>
    <numFmt numFmtId="170" formatCode="0.0_)"/>
    <numFmt numFmtId="171" formatCode="0.00_)"/>
    <numFmt numFmtId="172" formatCode="&quot;$&quot;#,##0.0000_);\(&quot;$&quot;#,##0.0000\)"/>
    <numFmt numFmtId="173" formatCode="_(&quot;$&quot;* #,##0_);_(&quot;$&quot;* \(#,##0\);_(&quot;$&quot;* &quot;-&quot;??_);_(@_)"/>
    <numFmt numFmtId="174" formatCode="0.000_)"/>
    <numFmt numFmtId="17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42"/>
      <name val="Arial"/>
      <family val="2"/>
    </font>
    <font>
      <sz val="9"/>
      <name val="Courier New"/>
      <family val="3"/>
    </font>
    <font>
      <b/>
      <sz val="9"/>
      <name val="Arial"/>
      <family val="2"/>
    </font>
    <font>
      <b/>
      <sz val="10"/>
      <name val="Courier"/>
      <family val="3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33" borderId="10" xfId="57" applyFont="1" applyFill="1" applyBorder="1" applyAlignment="1" applyProtection="1">
      <alignment horizontal="left"/>
      <protection/>
    </xf>
    <xf numFmtId="0" fontId="4" fillId="33" borderId="11" xfId="57" applyFont="1" applyFill="1" applyBorder="1">
      <alignment/>
      <protection/>
    </xf>
    <xf numFmtId="0" fontId="4" fillId="33" borderId="11" xfId="57" applyFont="1" applyFill="1" applyBorder="1" applyAlignment="1" applyProtection="1">
      <alignment horizontal="left"/>
      <protection/>
    </xf>
    <xf numFmtId="0" fontId="4" fillId="33" borderId="12" xfId="57" applyFont="1" applyFill="1" applyBorder="1">
      <alignment/>
      <protection/>
    </xf>
    <xf numFmtId="0" fontId="4" fillId="0" borderId="0" xfId="57" applyFont="1">
      <alignment/>
      <protection/>
    </xf>
    <xf numFmtId="0" fontId="3" fillId="0" borderId="0" xfId="57">
      <alignment/>
      <protection/>
    </xf>
    <xf numFmtId="168" fontId="3" fillId="0" borderId="0" xfId="57" applyNumberFormat="1">
      <alignment/>
      <protection/>
    </xf>
    <xf numFmtId="167" fontId="4" fillId="33" borderId="13" xfId="57" applyNumberFormat="1" applyFont="1" applyFill="1" applyBorder="1" applyProtection="1">
      <alignment/>
      <protection/>
    </xf>
    <xf numFmtId="0" fontId="4" fillId="33" borderId="0" xfId="57" applyFont="1" applyFill="1" applyBorder="1">
      <alignment/>
      <protection/>
    </xf>
    <xf numFmtId="0" fontId="4" fillId="33" borderId="0" xfId="57" applyFont="1" applyFill="1" applyBorder="1" applyAlignment="1" applyProtection="1">
      <alignment horizontal="left"/>
      <protection/>
    </xf>
    <xf numFmtId="165" fontId="4" fillId="33" borderId="0" xfId="57" applyNumberFormat="1" applyFont="1" applyFill="1" applyBorder="1" applyProtection="1">
      <alignment/>
      <protection/>
    </xf>
    <xf numFmtId="164" fontId="4" fillId="33" borderId="14" xfId="57" applyNumberFormat="1" applyFont="1" applyFill="1" applyBorder="1" applyAlignment="1" applyProtection="1">
      <alignment horizontal="center"/>
      <protection/>
    </xf>
    <xf numFmtId="0" fontId="4" fillId="33" borderId="13" xfId="57" applyFont="1" applyFill="1" applyBorder="1" applyAlignment="1" applyProtection="1">
      <alignment horizontal="left"/>
      <protection/>
    </xf>
    <xf numFmtId="167" fontId="4" fillId="33" borderId="0" xfId="57" applyNumberFormat="1" applyFont="1" applyFill="1" applyBorder="1" applyAlignment="1" applyProtection="1">
      <alignment horizontal="left"/>
      <protection/>
    </xf>
    <xf numFmtId="0" fontId="4" fillId="33" borderId="14" xfId="57" applyFont="1" applyFill="1" applyBorder="1">
      <alignment/>
      <protection/>
    </xf>
    <xf numFmtId="0" fontId="4" fillId="33" borderId="0" xfId="57" applyFont="1" applyFill="1" applyBorder="1" applyProtection="1">
      <alignment/>
      <protection/>
    </xf>
    <xf numFmtId="167" fontId="4" fillId="33" borderId="0" xfId="57" applyNumberFormat="1" applyFont="1" applyFill="1" applyBorder="1" applyProtection="1">
      <alignment/>
      <protection/>
    </xf>
    <xf numFmtId="167" fontId="4" fillId="33" borderId="14" xfId="57" applyNumberFormat="1" applyFont="1" applyFill="1" applyBorder="1" applyProtection="1">
      <alignment/>
      <protection/>
    </xf>
    <xf numFmtId="170" fontId="4" fillId="33" borderId="0" xfId="57" applyNumberFormat="1" applyFont="1" applyFill="1" applyBorder="1" applyProtection="1">
      <alignment/>
      <protection/>
    </xf>
    <xf numFmtId="37" fontId="4" fillId="33" borderId="0" xfId="57" applyNumberFormat="1" applyFont="1" applyFill="1" applyBorder="1" applyProtection="1">
      <alignment/>
      <protection/>
    </xf>
    <xf numFmtId="168" fontId="4" fillId="33" borderId="14" xfId="57" applyNumberFormat="1" applyFont="1" applyFill="1" applyBorder="1" applyProtection="1">
      <alignment/>
      <protection/>
    </xf>
    <xf numFmtId="168" fontId="4" fillId="33" borderId="0" xfId="57" applyNumberFormat="1" applyFont="1" applyFill="1" applyBorder="1" applyProtection="1">
      <alignment/>
      <protection/>
    </xf>
    <xf numFmtId="171" fontId="4" fillId="33" borderId="0" xfId="57" applyNumberFormat="1" applyFont="1" applyFill="1" applyBorder="1" applyProtection="1">
      <alignment/>
      <protection/>
    </xf>
    <xf numFmtId="170" fontId="4" fillId="33" borderId="14" xfId="57" applyNumberFormat="1" applyFont="1" applyFill="1" applyBorder="1" applyProtection="1">
      <alignment/>
      <protection/>
    </xf>
    <xf numFmtId="0" fontId="3" fillId="0" borderId="0" xfId="57" applyFont="1">
      <alignment/>
      <protection/>
    </xf>
    <xf numFmtId="0" fontId="4" fillId="34" borderId="15" xfId="57" applyFont="1" applyFill="1" applyBorder="1" applyAlignment="1" applyProtection="1">
      <alignment horizontal="fill"/>
      <protection/>
    </xf>
    <xf numFmtId="0" fontId="4" fillId="33" borderId="11" xfId="57" applyFont="1" applyFill="1" applyBorder="1" applyAlignment="1" applyProtection="1">
      <alignment horizontal="fill"/>
      <protection/>
    </xf>
    <xf numFmtId="0" fontId="4" fillId="33" borderId="12" xfId="57" applyFont="1" applyFill="1" applyBorder="1" applyAlignment="1" applyProtection="1">
      <alignment horizontal="fill"/>
      <protection/>
    </xf>
    <xf numFmtId="0" fontId="4" fillId="33" borderId="13" xfId="57" applyFont="1" applyFill="1" applyBorder="1" applyProtection="1">
      <alignment/>
      <protection/>
    </xf>
    <xf numFmtId="169" fontId="4" fillId="33" borderId="0" xfId="57" applyNumberFormat="1" applyFont="1" applyFill="1" applyBorder="1" applyProtection="1">
      <alignment/>
      <protection/>
    </xf>
    <xf numFmtId="171" fontId="3" fillId="0" borderId="0" xfId="57" applyNumberFormat="1">
      <alignment/>
      <protection/>
    </xf>
    <xf numFmtId="0" fontId="5" fillId="35" borderId="16" xfId="57" applyFont="1" applyFill="1" applyBorder="1" applyAlignment="1" applyProtection="1">
      <alignment horizontal="center"/>
      <protection locked="0"/>
    </xf>
    <xf numFmtId="0" fontId="4" fillId="33" borderId="0" xfId="57" applyFont="1" applyFill="1" applyBorder="1" applyAlignment="1" applyProtection="1">
      <alignment horizontal="center"/>
      <protection/>
    </xf>
    <xf numFmtId="0" fontId="4" fillId="0" borderId="0" xfId="57" applyFont="1" applyAlignment="1" applyProtection="1">
      <alignment horizontal="center"/>
      <protection/>
    </xf>
    <xf numFmtId="0" fontId="4" fillId="33" borderId="14" xfId="57" applyFont="1" applyFill="1" applyBorder="1" applyProtection="1">
      <alignment/>
      <protection/>
    </xf>
    <xf numFmtId="0" fontId="4" fillId="33" borderId="0" xfId="57" applyFont="1" applyFill="1" applyBorder="1" applyAlignment="1">
      <alignment horizontal="center"/>
      <protection/>
    </xf>
    <xf numFmtId="168" fontId="4" fillId="33" borderId="0" xfId="57" applyNumberFormat="1" applyFont="1" applyFill="1" applyBorder="1" applyAlignment="1" applyProtection="1">
      <alignment horizontal="center"/>
      <protection/>
    </xf>
    <xf numFmtId="171" fontId="4" fillId="33" borderId="14" xfId="57" applyNumberFormat="1" applyFont="1" applyFill="1" applyBorder="1" applyProtection="1">
      <alignment/>
      <protection/>
    </xf>
    <xf numFmtId="0" fontId="4" fillId="33" borderId="13" xfId="57" applyFont="1" applyFill="1" applyBorder="1" applyAlignment="1" applyProtection="1">
      <alignment horizontal="fill"/>
      <protection/>
    </xf>
    <xf numFmtId="172" fontId="4" fillId="33" borderId="0" xfId="57" applyNumberFormat="1" applyFont="1" applyFill="1" applyBorder="1" applyProtection="1">
      <alignment/>
      <protection/>
    </xf>
    <xf numFmtId="0" fontId="4" fillId="33" borderId="0" xfId="57" applyFont="1" applyFill="1" applyBorder="1" applyAlignment="1" applyProtection="1">
      <alignment horizontal="fill"/>
      <protection/>
    </xf>
    <xf numFmtId="171" fontId="5" fillId="35" borderId="16" xfId="57" applyNumberFormat="1" applyFont="1" applyFill="1" applyBorder="1" applyAlignment="1" applyProtection="1">
      <alignment horizontal="center"/>
      <protection locked="0"/>
    </xf>
    <xf numFmtId="167" fontId="3" fillId="0" borderId="0" xfId="57" applyNumberFormat="1">
      <alignment/>
      <protection/>
    </xf>
    <xf numFmtId="174" fontId="4" fillId="33" borderId="0" xfId="57" applyNumberFormat="1" applyFont="1" applyFill="1" applyBorder="1" applyProtection="1">
      <alignment/>
      <protection/>
    </xf>
    <xf numFmtId="168" fontId="4" fillId="33" borderId="0" xfId="57" applyNumberFormat="1" applyFont="1" applyFill="1" applyBorder="1" applyAlignment="1" applyProtection="1" quotePrefix="1">
      <alignment horizontal="center"/>
      <protection/>
    </xf>
    <xf numFmtId="168" fontId="4" fillId="33" borderId="14" xfId="57" applyNumberFormat="1" applyFont="1" applyFill="1" applyBorder="1" applyAlignment="1" applyProtection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167" fontId="4" fillId="0" borderId="0" xfId="57" applyNumberFormat="1" applyFont="1" applyProtection="1">
      <alignment/>
      <protection/>
    </xf>
    <xf numFmtId="171" fontId="4" fillId="33" borderId="0" xfId="57" applyNumberFormat="1" applyFont="1" applyFill="1" applyBorder="1" applyAlignment="1" applyProtection="1">
      <alignment horizontal="center"/>
      <protection/>
    </xf>
    <xf numFmtId="37" fontId="4" fillId="33" borderId="14" xfId="57" applyNumberFormat="1" applyFont="1" applyFill="1" applyBorder="1" applyAlignment="1" applyProtection="1">
      <alignment horizontal="center"/>
      <protection/>
    </xf>
    <xf numFmtId="39" fontId="4" fillId="33" borderId="0" xfId="57" applyNumberFormat="1" applyFont="1" applyFill="1" applyBorder="1" applyProtection="1">
      <alignment/>
      <protection/>
    </xf>
    <xf numFmtId="0" fontId="4" fillId="33" borderId="14" xfId="57" applyFont="1" applyFill="1" applyBorder="1" applyAlignment="1" applyProtection="1">
      <alignment horizontal="center"/>
      <protection/>
    </xf>
    <xf numFmtId="167" fontId="4" fillId="0" borderId="0" xfId="57" applyNumberFormat="1" applyFont="1" applyAlignment="1" applyProtection="1">
      <alignment horizontal="center"/>
      <protection/>
    </xf>
    <xf numFmtId="0" fontId="5" fillId="36" borderId="0" xfId="57" applyFont="1" applyFill="1" applyBorder="1" applyAlignment="1" applyProtection="1">
      <alignment horizontal="left"/>
      <protection locked="0"/>
    </xf>
    <xf numFmtId="0" fontId="4" fillId="33" borderId="13" xfId="57" applyFont="1" applyFill="1" applyBorder="1" applyProtection="1">
      <alignment/>
      <protection hidden="1"/>
    </xf>
    <xf numFmtId="0" fontId="4" fillId="33" borderId="0" xfId="57" applyFont="1" applyFill="1" applyBorder="1" applyProtection="1">
      <alignment/>
      <protection hidden="1"/>
    </xf>
    <xf numFmtId="171" fontId="4" fillId="33" borderId="0" xfId="57" applyNumberFormat="1" applyFont="1" applyFill="1" applyBorder="1" applyProtection="1">
      <alignment/>
      <protection hidden="1"/>
    </xf>
    <xf numFmtId="168" fontId="4" fillId="33" borderId="0" xfId="57" applyNumberFormat="1" applyFont="1" applyFill="1" applyBorder="1" applyProtection="1">
      <alignment/>
      <protection hidden="1"/>
    </xf>
    <xf numFmtId="168" fontId="4" fillId="33" borderId="14" xfId="57" applyNumberFormat="1" applyFont="1" applyFill="1" applyBorder="1" applyProtection="1">
      <alignment/>
      <protection hidden="1"/>
    </xf>
    <xf numFmtId="0" fontId="4" fillId="33" borderId="13" xfId="57" applyFont="1" applyFill="1" applyBorder="1">
      <alignment/>
      <protection/>
    </xf>
    <xf numFmtId="168" fontId="4" fillId="0" borderId="0" xfId="57" applyNumberFormat="1" applyFont="1" applyProtection="1">
      <alignment/>
      <protection/>
    </xf>
    <xf numFmtId="0" fontId="5" fillId="36" borderId="13" xfId="57" applyFont="1" applyFill="1" applyBorder="1" applyAlignment="1" applyProtection="1">
      <alignment horizontal="left"/>
      <protection locked="0"/>
    </xf>
    <xf numFmtId="171" fontId="4" fillId="33" borderId="14" xfId="57" applyNumberFormat="1" applyFont="1" applyFill="1" applyBorder="1" applyAlignment="1" applyProtection="1">
      <alignment horizontal="center"/>
      <protection/>
    </xf>
    <xf numFmtId="168" fontId="5" fillId="35" borderId="16" xfId="57" applyNumberFormat="1" applyFont="1" applyFill="1" applyBorder="1" applyAlignment="1" applyProtection="1">
      <alignment horizontal="center"/>
      <protection locked="0"/>
    </xf>
    <xf numFmtId="9" fontId="4" fillId="33" borderId="0" xfId="57" applyNumberFormat="1" applyFont="1" applyFill="1" applyBorder="1" applyProtection="1">
      <alignment/>
      <protection/>
    </xf>
    <xf numFmtId="167" fontId="4" fillId="0" borderId="0" xfId="57" applyNumberFormat="1" applyFont="1" applyAlignment="1" applyProtection="1">
      <alignment horizontal="left"/>
      <protection/>
    </xf>
    <xf numFmtId="171" fontId="4" fillId="0" borderId="0" xfId="57" applyNumberFormat="1" applyFont="1" applyProtection="1">
      <alignment/>
      <protection/>
    </xf>
    <xf numFmtId="0" fontId="4" fillId="33" borderId="10" xfId="57" applyFont="1" applyFill="1" applyBorder="1">
      <alignment/>
      <protection/>
    </xf>
    <xf numFmtId="168" fontId="4" fillId="33" borderId="11" xfId="57" applyNumberFormat="1" applyFont="1" applyFill="1" applyBorder="1" applyProtection="1">
      <alignment/>
      <protection/>
    </xf>
    <xf numFmtId="171" fontId="4" fillId="33" borderId="11" xfId="57" applyNumberFormat="1" applyFont="1" applyFill="1" applyBorder="1" applyProtection="1">
      <alignment/>
      <protection/>
    </xf>
    <xf numFmtId="171" fontId="4" fillId="33" borderId="12" xfId="57" applyNumberFormat="1" applyFont="1" applyFill="1" applyBorder="1" applyProtection="1">
      <alignment/>
      <protection/>
    </xf>
    <xf numFmtId="9" fontId="4" fillId="33" borderId="0" xfId="57" applyNumberFormat="1" applyFont="1" applyFill="1" applyBorder="1" applyAlignment="1" applyProtection="1">
      <alignment horizontal="center"/>
      <protection/>
    </xf>
    <xf numFmtId="167" fontId="4" fillId="33" borderId="14" xfId="57" applyNumberFormat="1" applyFont="1" applyFill="1" applyBorder="1" applyAlignment="1" applyProtection="1">
      <alignment horizontal="center"/>
      <protection/>
    </xf>
    <xf numFmtId="167" fontId="4" fillId="33" borderId="14" xfId="57" applyNumberFormat="1" applyFont="1" applyFill="1" applyBorder="1" applyAlignment="1" applyProtection="1">
      <alignment horizontal="left"/>
      <protection/>
    </xf>
    <xf numFmtId="171" fontId="4" fillId="33" borderId="13" xfId="57" applyNumberFormat="1" applyFont="1" applyFill="1" applyBorder="1" applyProtection="1">
      <alignment/>
      <protection/>
    </xf>
    <xf numFmtId="0" fontId="4" fillId="34" borderId="0" xfId="57" applyFont="1" applyFill="1" applyBorder="1">
      <alignment/>
      <protection/>
    </xf>
    <xf numFmtId="171" fontId="4" fillId="34" borderId="0" xfId="57" applyNumberFormat="1" applyFont="1" applyFill="1" applyBorder="1" applyProtection="1">
      <alignment/>
      <protection/>
    </xf>
    <xf numFmtId="168" fontId="4" fillId="34" borderId="0" xfId="57" applyNumberFormat="1" applyFont="1" applyFill="1" applyBorder="1" applyProtection="1">
      <alignment/>
      <protection/>
    </xf>
    <xf numFmtId="0" fontId="4" fillId="34" borderId="0" xfId="57" applyFont="1" applyFill="1" applyBorder="1" applyProtection="1">
      <alignment/>
      <protection/>
    </xf>
    <xf numFmtId="167" fontId="4" fillId="34" borderId="0" xfId="57" applyNumberFormat="1" applyFont="1" applyFill="1" applyBorder="1" applyProtection="1">
      <alignment/>
      <protection/>
    </xf>
    <xf numFmtId="10" fontId="4" fillId="34" borderId="0" xfId="57" applyNumberFormat="1" applyFont="1" applyFill="1" applyBorder="1" applyProtection="1">
      <alignment/>
      <protection/>
    </xf>
    <xf numFmtId="0" fontId="7" fillId="0" borderId="0" xfId="57" applyFont="1">
      <alignment/>
      <protection/>
    </xf>
    <xf numFmtId="0" fontId="3" fillId="36" borderId="0" xfId="57" applyFill="1" applyBorder="1">
      <alignment/>
      <protection/>
    </xf>
    <xf numFmtId="0" fontId="4" fillId="33" borderId="11" xfId="57" applyFont="1" applyFill="1" applyBorder="1" applyAlignment="1">
      <alignment horizontal="centerContinuous"/>
      <protection/>
    </xf>
    <xf numFmtId="168" fontId="4" fillId="33" borderId="0" xfId="57" applyNumberFormat="1" applyFont="1" applyFill="1" applyBorder="1" applyAlignment="1" applyProtection="1">
      <alignment horizontal="centerContinuous"/>
      <protection/>
    </xf>
    <xf numFmtId="0" fontId="4" fillId="33" borderId="0" xfId="57" applyFont="1" applyFill="1" applyBorder="1" applyAlignment="1" applyProtection="1">
      <alignment horizontal="centerContinuous"/>
      <protection/>
    </xf>
    <xf numFmtId="0" fontId="4" fillId="33" borderId="0" xfId="57" applyFont="1" applyFill="1" applyBorder="1" applyAlignment="1">
      <alignment horizontal="centerContinuous"/>
      <protection/>
    </xf>
    <xf numFmtId="167" fontId="4" fillId="33" borderId="0" xfId="57" applyNumberFormat="1" applyFont="1" applyFill="1" applyBorder="1" applyAlignment="1" applyProtection="1">
      <alignment horizontal="centerContinuous"/>
      <protection/>
    </xf>
    <xf numFmtId="168" fontId="4" fillId="33" borderId="17" xfId="57" applyNumberFormat="1" applyFont="1" applyFill="1" applyBorder="1" applyAlignment="1" applyProtection="1">
      <alignment horizontal="centerContinuous"/>
      <protection/>
    </xf>
    <xf numFmtId="0" fontId="4" fillId="33" borderId="17" xfId="57" applyFont="1" applyFill="1" applyBorder="1" applyAlignment="1">
      <alignment horizontal="centerContinuous"/>
      <protection/>
    </xf>
    <xf numFmtId="0" fontId="4" fillId="33" borderId="17" xfId="57" applyFont="1" applyFill="1" applyBorder="1" applyAlignment="1" applyProtection="1">
      <alignment horizontal="centerContinuous"/>
      <protection/>
    </xf>
    <xf numFmtId="167" fontId="4" fillId="33" borderId="17" xfId="57" applyNumberFormat="1" applyFont="1" applyFill="1" applyBorder="1" applyAlignment="1" applyProtection="1">
      <alignment horizontal="centerContinuous"/>
      <protection/>
    </xf>
    <xf numFmtId="0" fontId="5" fillId="36" borderId="0" xfId="57" applyFont="1" applyFill="1" applyBorder="1" applyAlignment="1" applyProtection="1">
      <alignment horizontal="center"/>
      <protection locked="0"/>
    </xf>
    <xf numFmtId="0" fontId="3" fillId="36" borderId="14" xfId="57" applyFill="1" applyBorder="1">
      <alignment/>
      <protection/>
    </xf>
    <xf numFmtId="0" fontId="4" fillId="33" borderId="13" xfId="57" applyFont="1" applyFill="1" applyBorder="1" applyAlignment="1" applyProtection="1">
      <alignment/>
      <protection/>
    </xf>
    <xf numFmtId="0" fontId="4" fillId="33" borderId="14" xfId="57" applyFont="1" applyFill="1" applyBorder="1" applyAlignment="1" applyProtection="1">
      <alignment horizontal="fill"/>
      <protection/>
    </xf>
    <xf numFmtId="0" fontId="4" fillId="33" borderId="10" xfId="57" applyFont="1" applyFill="1" applyBorder="1" applyAlignment="1">
      <alignment horizontal="centerContinuous"/>
      <protection/>
    </xf>
    <xf numFmtId="0" fontId="4" fillId="33" borderId="12" xfId="57" applyFont="1" applyFill="1" applyBorder="1" applyAlignment="1">
      <alignment horizontal="centerContinuous"/>
      <protection/>
    </xf>
    <xf numFmtId="171" fontId="4" fillId="33" borderId="13" xfId="57" applyNumberFormat="1" applyFont="1" applyFill="1" applyBorder="1" applyAlignment="1" applyProtection="1" quotePrefix="1">
      <alignment horizontal="centerContinuous"/>
      <protection/>
    </xf>
    <xf numFmtId="167" fontId="4" fillId="33" borderId="14" xfId="57" applyNumberFormat="1" applyFont="1" applyFill="1" applyBorder="1" applyAlignment="1" applyProtection="1">
      <alignment horizontal="centerContinuous"/>
      <protection/>
    </xf>
    <xf numFmtId="167" fontId="4" fillId="33" borderId="18" xfId="57" applyNumberFormat="1" applyFont="1" applyFill="1" applyBorder="1" applyAlignment="1" applyProtection="1">
      <alignment horizontal="centerContinuous"/>
      <protection/>
    </xf>
    <xf numFmtId="167" fontId="6" fillId="33" borderId="13" xfId="57" applyNumberFormat="1" applyFont="1" applyFill="1" applyBorder="1" applyAlignment="1" applyProtection="1">
      <alignment horizontal="left"/>
      <protection hidden="1"/>
    </xf>
    <xf numFmtId="167" fontId="6" fillId="33" borderId="0" xfId="57" applyNumberFormat="1" applyFont="1" applyFill="1" applyBorder="1" applyProtection="1">
      <alignment/>
      <protection hidden="1"/>
    </xf>
    <xf numFmtId="167" fontId="6" fillId="36" borderId="0" xfId="57" applyNumberFormat="1" applyFont="1" applyFill="1" applyBorder="1" applyAlignment="1" applyProtection="1">
      <alignment horizontal="center"/>
      <protection hidden="1"/>
    </xf>
    <xf numFmtId="167" fontId="6" fillId="33" borderId="0" xfId="57" applyNumberFormat="1" applyFont="1" applyFill="1" applyBorder="1" applyAlignment="1" applyProtection="1">
      <alignment horizontal="center"/>
      <protection hidden="1"/>
    </xf>
    <xf numFmtId="167" fontId="6" fillId="33" borderId="14" xfId="57" applyNumberFormat="1" applyFont="1" applyFill="1" applyBorder="1" applyAlignment="1" applyProtection="1">
      <alignment horizontal="center"/>
      <protection hidden="1"/>
    </xf>
    <xf numFmtId="167" fontId="4" fillId="33" borderId="13" xfId="57" applyNumberFormat="1" applyFont="1" applyFill="1" applyBorder="1" applyProtection="1">
      <alignment/>
      <protection hidden="1"/>
    </xf>
    <xf numFmtId="167" fontId="4" fillId="33" borderId="0" xfId="57" applyNumberFormat="1" applyFont="1" applyFill="1" applyBorder="1" applyProtection="1">
      <alignment/>
      <protection hidden="1"/>
    </xf>
    <xf numFmtId="167" fontId="4" fillId="33" borderId="14" xfId="57" applyNumberFormat="1" applyFont="1" applyFill="1" applyBorder="1" applyProtection="1">
      <alignment/>
      <protection hidden="1"/>
    </xf>
    <xf numFmtId="167" fontId="6" fillId="33" borderId="0" xfId="57" applyNumberFormat="1" applyFont="1" applyFill="1" applyBorder="1" applyAlignment="1" applyProtection="1">
      <alignment horizontal="left"/>
      <protection/>
    </xf>
    <xf numFmtId="167" fontId="6" fillId="36" borderId="14" xfId="57" applyNumberFormat="1" applyFont="1" applyFill="1" applyBorder="1" applyAlignment="1" applyProtection="1">
      <alignment horizontal="center"/>
      <protection hidden="1"/>
    </xf>
    <xf numFmtId="167" fontId="6" fillId="33" borderId="14" xfId="57" applyNumberFormat="1" applyFont="1" applyFill="1" applyBorder="1" applyProtection="1">
      <alignment/>
      <protection hidden="1"/>
    </xf>
    <xf numFmtId="0" fontId="8" fillId="36" borderId="13" xfId="57" applyFont="1" applyFill="1" applyBorder="1">
      <alignment/>
      <protection/>
    </xf>
    <xf numFmtId="0" fontId="9" fillId="36" borderId="0" xfId="57" applyFont="1" applyFill="1" applyBorder="1">
      <alignment/>
      <protection/>
    </xf>
    <xf numFmtId="49" fontId="5" fillId="37" borderId="16" xfId="57" applyNumberFormat="1" applyFont="1" applyFill="1" applyBorder="1" applyAlignment="1" applyProtection="1" quotePrefix="1">
      <alignment horizontal="center"/>
      <protection locked="0"/>
    </xf>
    <xf numFmtId="171" fontId="4" fillId="33" borderId="0" xfId="57" applyNumberFormat="1" applyFont="1" applyFill="1" applyBorder="1" applyAlignment="1" applyProtection="1">
      <alignment horizontal="right"/>
      <protection/>
    </xf>
    <xf numFmtId="173" fontId="11" fillId="36" borderId="10" xfId="56" applyNumberFormat="1" applyFont="1" applyFill="1" applyBorder="1">
      <alignment/>
      <protection/>
    </xf>
    <xf numFmtId="0" fontId="5" fillId="36" borderId="0" xfId="57" applyFont="1" applyFill="1" applyBorder="1" applyAlignment="1" applyProtection="1">
      <alignment/>
      <protection locked="0"/>
    </xf>
    <xf numFmtId="171" fontId="2" fillId="33" borderId="13" xfId="52" applyNumberFormat="1" applyFill="1" applyBorder="1" applyAlignment="1" applyProtection="1">
      <alignment horizontal="centerContinuous"/>
      <protection/>
    </xf>
    <xf numFmtId="0" fontId="8" fillId="36" borderId="13" xfId="57" applyFont="1" applyFill="1" applyBorder="1" applyAlignment="1" quotePrefix="1">
      <alignment horizontal="left"/>
      <protection/>
    </xf>
    <xf numFmtId="0" fontId="4" fillId="33" borderId="11" xfId="57" applyFont="1" applyFill="1" applyBorder="1" applyAlignment="1" applyProtection="1" quotePrefix="1">
      <alignment horizontal="left"/>
      <protection/>
    </xf>
    <xf numFmtId="0" fontId="3" fillId="36" borderId="0" xfId="57" applyFill="1">
      <alignment/>
      <protection/>
    </xf>
    <xf numFmtId="0" fontId="4" fillId="33" borderId="13" xfId="57" applyFont="1" applyFill="1" applyBorder="1" applyAlignment="1" applyProtection="1" quotePrefix="1">
      <alignment horizontal="left"/>
      <protection/>
    </xf>
    <xf numFmtId="171" fontId="5" fillId="36" borderId="0" xfId="57" applyNumberFormat="1" applyFont="1" applyFill="1" applyBorder="1" applyAlignment="1" applyProtection="1">
      <alignment horizontal="center"/>
      <protection locked="0"/>
    </xf>
    <xf numFmtId="168" fontId="5" fillId="36" borderId="0" xfId="57" applyNumberFormat="1" applyFont="1" applyFill="1" applyBorder="1" applyAlignment="1" applyProtection="1">
      <alignment horizontal="center"/>
      <protection locked="0"/>
    </xf>
    <xf numFmtId="171" fontId="5" fillId="37" borderId="16" xfId="57" applyNumberFormat="1" applyFont="1" applyFill="1" applyBorder="1" applyAlignment="1" applyProtection="1">
      <alignment horizontal="center"/>
      <protection locked="0"/>
    </xf>
    <xf numFmtId="3" fontId="5" fillId="37" borderId="16" xfId="42" applyNumberFormat="1" applyFont="1" applyFill="1" applyBorder="1" applyAlignment="1" applyProtection="1">
      <alignment/>
      <protection locked="0"/>
    </xf>
    <xf numFmtId="175" fontId="5" fillId="37" borderId="16" xfId="42" applyNumberFormat="1" applyFont="1" applyFill="1" applyBorder="1" applyAlignment="1" applyProtection="1">
      <alignment/>
      <protection locked="0"/>
    </xf>
    <xf numFmtId="2" fontId="4" fillId="0" borderId="0" xfId="57" applyNumberFormat="1" applyFont="1">
      <alignment/>
      <protection/>
    </xf>
    <xf numFmtId="2" fontId="4" fillId="0" borderId="0" xfId="57" applyNumberFormat="1" applyFont="1" applyProtection="1">
      <alignment/>
      <protection/>
    </xf>
    <xf numFmtId="2" fontId="4" fillId="0" borderId="0" xfId="57" applyNumberFormat="1" applyFont="1" applyAlignment="1" applyProtection="1">
      <alignment horizontal="center"/>
      <protection/>
    </xf>
    <xf numFmtId="2" fontId="4" fillId="0" borderId="0" xfId="57" applyNumberFormat="1" applyFont="1" applyAlignment="1" applyProtection="1">
      <alignment horizontal="left"/>
      <protection/>
    </xf>
    <xf numFmtId="2" fontId="7" fillId="0" borderId="0" xfId="57" applyNumberFormat="1" applyFont="1">
      <alignment/>
      <protection/>
    </xf>
    <xf numFmtId="2" fontId="3" fillId="0" borderId="0" xfId="57" applyNumberFormat="1">
      <alignment/>
      <protection/>
    </xf>
    <xf numFmtId="171" fontId="8" fillId="33" borderId="0" xfId="57" applyNumberFormat="1" applyFont="1" applyFill="1" applyBorder="1" applyAlignment="1" applyProtection="1">
      <alignment horizontal="center"/>
      <protection/>
    </xf>
    <xf numFmtId="168" fontId="8" fillId="33" borderId="14" xfId="57" applyNumberFormat="1" applyFont="1" applyFill="1" applyBorder="1" applyAlignment="1" applyProtection="1">
      <alignment horizontal="center"/>
      <protection/>
    </xf>
    <xf numFmtId="0" fontId="5" fillId="37" borderId="16" xfId="57" applyFont="1" applyFill="1" applyBorder="1" applyAlignment="1" applyProtection="1" quotePrefix="1">
      <alignment horizontal="center"/>
      <protection locked="0"/>
    </xf>
    <xf numFmtId="0" fontId="4" fillId="33" borderId="0" xfId="57" applyFont="1" applyFill="1" applyBorder="1" applyAlignment="1" applyProtection="1">
      <alignment/>
      <protection/>
    </xf>
    <xf numFmtId="0" fontId="4" fillId="33" borderId="0" xfId="57" applyFont="1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alffeed" xfId="56"/>
    <cellStyle name="Normal_Ve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447675</xdr:colOff>
      <xdr:row>2</xdr:row>
      <xdr:rowOff>57150</xdr:rowOff>
    </xdr:to>
    <xdr:pic>
      <xdr:nvPicPr>
        <xdr:cNvPr id="1" name="Picture 1" descr="NEW Ont Trillium logo blk2007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0" y="9525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.myops.gov.on.ca/Data/Analysis%20Tools/LoanCalc2.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.myops.gov.on.ca/WINDOWS/Desktop/Program%20Files/Bear2000/Budget%20Files/Crops/Forages/Silage.bp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.myops.gov.on.ca/Documents%20and%20Settings/LTompkin/Local%20Settings/Temp/MXLibDir/Bcal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.myops.gov.on.ca/WINDOWS/Desktop/Program%20Files/Bear2000/Budget%20Files/Crops/Grains/Corn.bp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9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ok26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.myops.gov.on.ca/WINDOWS/Desktop/Program%20Files/Bear2000/Budget%20Files/Livestock/Poultry/turkey.bp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Dialog1"/>
      <sheetName val="Balance"/>
      <sheetName val="P+I"/>
      <sheetName val="Compare"/>
      <sheetName val="Prepay"/>
      <sheetName val="Refinance"/>
      <sheetName val="InterestRate"/>
      <sheetName val="Time"/>
      <sheetName val="Max"/>
      <sheetName val="Tips"/>
      <sheetName val="Module1"/>
      <sheetName val="Module3"/>
      <sheetName val="Module4"/>
      <sheetName val="SetToolbars"/>
      <sheetName val="Module5"/>
    </sheetNames>
    <sheetDataSet>
      <sheetData sheetId="0">
        <row r="2">
          <cell r="R2">
            <v>7</v>
          </cell>
        </row>
        <row r="3">
          <cell r="N3">
            <v>1</v>
          </cell>
        </row>
        <row r="4">
          <cell r="N4">
            <v>12</v>
          </cell>
        </row>
        <row r="13">
          <cell r="G13">
            <v>100000</v>
          </cell>
        </row>
        <row r="14">
          <cell r="A14">
            <v>1</v>
          </cell>
          <cell r="G14">
            <v>99471.3</v>
          </cell>
        </row>
        <row r="15">
          <cell r="G15">
            <v>98938.81</v>
          </cell>
        </row>
        <row r="16">
          <cell r="G16">
            <v>98402.51</v>
          </cell>
        </row>
        <row r="17">
          <cell r="G17">
            <v>97862.37</v>
          </cell>
        </row>
        <row r="18">
          <cell r="G18">
            <v>97318.36</v>
          </cell>
        </row>
        <row r="19">
          <cell r="G19">
            <v>96770.45</v>
          </cell>
        </row>
        <row r="20">
          <cell r="G20">
            <v>96218.62</v>
          </cell>
        </row>
        <row r="21">
          <cell r="G21">
            <v>95662.84</v>
          </cell>
        </row>
        <row r="22">
          <cell r="G22">
            <v>95103.08</v>
          </cell>
        </row>
        <row r="23">
          <cell r="G23">
            <v>94539.31</v>
          </cell>
        </row>
        <row r="24">
          <cell r="G24">
            <v>93971.5</v>
          </cell>
        </row>
        <row r="25">
          <cell r="G25">
            <v>93399.62</v>
          </cell>
        </row>
        <row r="26">
          <cell r="G26">
            <v>92823.65</v>
          </cell>
        </row>
        <row r="27">
          <cell r="G27">
            <v>92243.55</v>
          </cell>
        </row>
        <row r="28">
          <cell r="G28">
            <v>91659.3</v>
          </cell>
        </row>
        <row r="29">
          <cell r="G29">
            <v>91070.86</v>
          </cell>
        </row>
        <row r="30">
          <cell r="G30">
            <v>90478.21</v>
          </cell>
        </row>
        <row r="31">
          <cell r="G31">
            <v>89881.31</v>
          </cell>
        </row>
        <row r="32">
          <cell r="G32">
            <v>89280.14</v>
          </cell>
        </row>
        <row r="33">
          <cell r="G33">
            <v>88674.66</v>
          </cell>
        </row>
        <row r="34">
          <cell r="G34">
            <v>88064.85</v>
          </cell>
        </row>
        <row r="35">
          <cell r="G35">
            <v>87450.67</v>
          </cell>
        </row>
        <row r="36">
          <cell r="G36">
            <v>86832.09</v>
          </cell>
        </row>
        <row r="37">
          <cell r="G37">
            <v>86209.08</v>
          </cell>
        </row>
        <row r="38">
          <cell r="G38">
            <v>85581.61</v>
          </cell>
        </row>
        <row r="39">
          <cell r="G39">
            <v>84949.64</v>
          </cell>
        </row>
        <row r="40">
          <cell r="G40">
            <v>84313.15</v>
          </cell>
        </row>
        <row r="41">
          <cell r="G41">
            <v>83672.1</v>
          </cell>
        </row>
        <row r="42">
          <cell r="G42">
            <v>83026.46</v>
          </cell>
        </row>
        <row r="43">
          <cell r="G43">
            <v>82376.19</v>
          </cell>
        </row>
        <row r="44">
          <cell r="G44">
            <v>81721.26</v>
          </cell>
        </row>
        <row r="45">
          <cell r="G45">
            <v>81061.64</v>
          </cell>
        </row>
        <row r="46">
          <cell r="G46">
            <v>80397.3</v>
          </cell>
        </row>
        <row r="47">
          <cell r="G47">
            <v>79728.2</v>
          </cell>
        </row>
        <row r="48">
          <cell r="G48">
            <v>79054.31</v>
          </cell>
        </row>
        <row r="49">
          <cell r="G49">
            <v>78375.59</v>
          </cell>
        </row>
        <row r="50">
          <cell r="G50">
            <v>77692.01</v>
          </cell>
        </row>
        <row r="51">
          <cell r="G51">
            <v>77003.54</v>
          </cell>
        </row>
        <row r="52">
          <cell r="G52">
            <v>76310.13</v>
          </cell>
        </row>
        <row r="53">
          <cell r="G53">
            <v>75611.76</v>
          </cell>
        </row>
        <row r="54">
          <cell r="G54">
            <v>74908.39</v>
          </cell>
        </row>
        <row r="55">
          <cell r="G55">
            <v>74199.98</v>
          </cell>
        </row>
        <row r="56">
          <cell r="G56">
            <v>73486.49</v>
          </cell>
        </row>
        <row r="57">
          <cell r="G57">
            <v>72767.89</v>
          </cell>
        </row>
        <row r="58">
          <cell r="G58">
            <v>72044.15</v>
          </cell>
        </row>
        <row r="59">
          <cell r="G59">
            <v>71315.22</v>
          </cell>
        </row>
        <row r="60">
          <cell r="G60">
            <v>70581.07</v>
          </cell>
        </row>
        <row r="61">
          <cell r="G61">
            <v>69841.67</v>
          </cell>
        </row>
        <row r="62">
          <cell r="G62">
            <v>69096.97</v>
          </cell>
        </row>
        <row r="63">
          <cell r="G63">
            <v>68346.94</v>
          </cell>
        </row>
        <row r="64">
          <cell r="G64">
            <v>67591.53</v>
          </cell>
        </row>
        <row r="65">
          <cell r="G65">
            <v>66830.71</v>
          </cell>
        </row>
        <row r="66">
          <cell r="G66">
            <v>66064.44</v>
          </cell>
        </row>
        <row r="67">
          <cell r="G67">
            <v>65292.69</v>
          </cell>
        </row>
        <row r="68">
          <cell r="G68">
            <v>64515.41</v>
          </cell>
        </row>
        <row r="69">
          <cell r="G69">
            <v>63732.56</v>
          </cell>
        </row>
        <row r="70">
          <cell r="G70">
            <v>62944.1</v>
          </cell>
        </row>
        <row r="71">
          <cell r="G71">
            <v>62150</v>
          </cell>
        </row>
        <row r="72">
          <cell r="G72">
            <v>61350.21</v>
          </cell>
        </row>
        <row r="73">
          <cell r="G73">
            <v>60544.69</v>
          </cell>
        </row>
        <row r="74">
          <cell r="G74">
            <v>59733.4</v>
          </cell>
        </row>
        <row r="75">
          <cell r="G75">
            <v>58916.3</v>
          </cell>
        </row>
        <row r="76">
          <cell r="G76">
            <v>58093.35</v>
          </cell>
        </row>
        <row r="77">
          <cell r="G77">
            <v>57264.51</v>
          </cell>
        </row>
        <row r="78">
          <cell r="G78">
            <v>56429.73</v>
          </cell>
        </row>
        <row r="79">
          <cell r="G79">
            <v>55588.97</v>
          </cell>
        </row>
        <row r="80">
          <cell r="G80">
            <v>54742.19</v>
          </cell>
        </row>
        <row r="81">
          <cell r="G81">
            <v>53889.34</v>
          </cell>
        </row>
        <row r="82">
          <cell r="G82">
            <v>53030.39</v>
          </cell>
        </row>
        <row r="83">
          <cell r="G83">
            <v>52165.28</v>
          </cell>
        </row>
        <row r="84">
          <cell r="G84">
            <v>51293.98</v>
          </cell>
        </row>
        <row r="85">
          <cell r="G85">
            <v>50416.44</v>
          </cell>
        </row>
        <row r="86">
          <cell r="G86">
            <v>49532.61</v>
          </cell>
        </row>
        <row r="87">
          <cell r="G87">
            <v>48642.45</v>
          </cell>
        </row>
        <row r="88">
          <cell r="G88">
            <v>47745.92</v>
          </cell>
        </row>
        <row r="89">
          <cell r="G89">
            <v>46842.97</v>
          </cell>
        </row>
        <row r="90">
          <cell r="G90">
            <v>45933.55</v>
          </cell>
        </row>
        <row r="91">
          <cell r="G91">
            <v>45017.61</v>
          </cell>
        </row>
        <row r="92">
          <cell r="G92">
            <v>44095.11</v>
          </cell>
        </row>
        <row r="93">
          <cell r="G93">
            <v>43166.01</v>
          </cell>
        </row>
        <row r="94">
          <cell r="G94">
            <v>42230.25</v>
          </cell>
        </row>
        <row r="95">
          <cell r="G95">
            <v>41287.79</v>
          </cell>
        </row>
        <row r="96">
          <cell r="G96">
            <v>40338.58</v>
          </cell>
        </row>
        <row r="97">
          <cell r="G97">
            <v>39382.57</v>
          </cell>
        </row>
        <row r="98">
          <cell r="G98">
            <v>38419.72</v>
          </cell>
        </row>
        <row r="99">
          <cell r="G99">
            <v>37449.97</v>
          </cell>
        </row>
        <row r="100">
          <cell r="G100">
            <v>36473.27</v>
          </cell>
        </row>
        <row r="101">
          <cell r="G101">
            <v>35489.58</v>
          </cell>
        </row>
        <row r="102">
          <cell r="G102">
            <v>34498.84</v>
          </cell>
        </row>
        <row r="103">
          <cell r="G103">
            <v>33501.01</v>
          </cell>
        </row>
        <row r="104">
          <cell r="G104">
            <v>32496.03</v>
          </cell>
        </row>
        <row r="105">
          <cell r="G105">
            <v>31483.85</v>
          </cell>
        </row>
        <row r="106">
          <cell r="G106">
            <v>30464.42</v>
          </cell>
        </row>
        <row r="107">
          <cell r="G107">
            <v>29437.69</v>
          </cell>
        </row>
        <row r="108">
          <cell r="G108">
            <v>28403.61</v>
          </cell>
        </row>
        <row r="109">
          <cell r="G109">
            <v>27362.12</v>
          </cell>
        </row>
        <row r="110">
          <cell r="G110">
            <v>26313.17</v>
          </cell>
        </row>
        <row r="111">
          <cell r="G111">
            <v>25256.71</v>
          </cell>
        </row>
        <row r="112">
          <cell r="G112">
            <v>24192.68</v>
          </cell>
        </row>
        <row r="113">
          <cell r="G113">
            <v>23121.03</v>
          </cell>
        </row>
        <row r="114">
          <cell r="G114">
            <v>22041.71</v>
          </cell>
        </row>
        <row r="115">
          <cell r="G115">
            <v>20954.66</v>
          </cell>
        </row>
        <row r="116">
          <cell r="G116">
            <v>19859.82</v>
          </cell>
        </row>
        <row r="117">
          <cell r="G117">
            <v>18757.14</v>
          </cell>
        </row>
        <row r="118">
          <cell r="G118">
            <v>17646.56</v>
          </cell>
        </row>
        <row r="119">
          <cell r="G119">
            <v>16528.03</v>
          </cell>
        </row>
        <row r="120">
          <cell r="G120">
            <v>15401.49</v>
          </cell>
        </row>
        <row r="121">
          <cell r="G121">
            <v>14266.88</v>
          </cell>
        </row>
        <row r="122">
          <cell r="G122">
            <v>13124.14</v>
          </cell>
        </row>
        <row r="123">
          <cell r="G123">
            <v>11973.22</v>
          </cell>
        </row>
        <row r="124">
          <cell r="G124">
            <v>10814.05</v>
          </cell>
        </row>
        <row r="125">
          <cell r="G125">
            <v>9646.58</v>
          </cell>
        </row>
        <row r="126">
          <cell r="G126">
            <v>8470.75</v>
          </cell>
        </row>
        <row r="127">
          <cell r="G127">
            <v>7286.5</v>
          </cell>
        </row>
        <row r="128">
          <cell r="G128">
            <v>6093.77</v>
          </cell>
        </row>
        <row r="129">
          <cell r="G129">
            <v>4892.49</v>
          </cell>
        </row>
        <row r="130">
          <cell r="G130">
            <v>3682.61</v>
          </cell>
        </row>
        <row r="131">
          <cell r="G131">
            <v>2464.07</v>
          </cell>
        </row>
        <row r="132">
          <cell r="G132">
            <v>1236.8</v>
          </cell>
        </row>
        <row r="133">
          <cell r="G133">
            <v>0.74</v>
          </cell>
        </row>
        <row r="134">
          <cell r="G134">
            <v>0</v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/>
          </cell>
        </row>
        <row r="143">
          <cell r="G143" t="str">
            <v/>
          </cell>
        </row>
        <row r="144">
          <cell r="G144" t="str">
            <v/>
          </cell>
        </row>
        <row r="145">
          <cell r="G145" t="str">
            <v/>
          </cell>
        </row>
        <row r="146">
          <cell r="G146" t="str">
            <v/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/>
          </cell>
        </row>
        <row r="153">
          <cell r="G153" t="str">
            <v/>
          </cell>
        </row>
        <row r="154">
          <cell r="G154" t="str">
            <v/>
          </cell>
        </row>
        <row r="155">
          <cell r="G155" t="str">
            <v/>
          </cell>
        </row>
        <row r="156">
          <cell r="G156" t="str">
            <v/>
          </cell>
        </row>
        <row r="157">
          <cell r="G157" t="str">
            <v/>
          </cell>
        </row>
        <row r="158">
          <cell r="G158" t="str">
            <v/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5">
          <cell r="G165" t="str">
            <v/>
          </cell>
        </row>
        <row r="166">
          <cell r="G166" t="str">
            <v/>
          </cell>
        </row>
        <row r="167">
          <cell r="G167" t="str">
            <v/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/>
          </cell>
        </row>
        <row r="177">
          <cell r="G177" t="str">
            <v/>
          </cell>
        </row>
        <row r="178">
          <cell r="G178" t="str">
            <v/>
          </cell>
        </row>
        <row r="179">
          <cell r="G179" t="str">
            <v/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/>
          </cell>
        </row>
        <row r="191">
          <cell r="G191" t="str">
            <v/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/>
          </cell>
        </row>
        <row r="195">
          <cell r="G195" t="str">
            <v/>
          </cell>
        </row>
        <row r="196">
          <cell r="G196" t="str">
            <v/>
          </cell>
        </row>
        <row r="197">
          <cell r="G197" t="str">
            <v/>
          </cell>
        </row>
        <row r="198">
          <cell r="G198" t="str">
            <v/>
          </cell>
        </row>
        <row r="199">
          <cell r="G199" t="str">
            <v/>
          </cell>
        </row>
        <row r="200">
          <cell r="G200" t="str">
            <v/>
          </cell>
        </row>
        <row r="201">
          <cell r="G201" t="str">
            <v/>
          </cell>
        </row>
        <row r="202">
          <cell r="G202" t="str">
            <v/>
          </cell>
        </row>
        <row r="203">
          <cell r="G203" t="str">
            <v/>
          </cell>
        </row>
        <row r="204">
          <cell r="G204" t="str">
            <v/>
          </cell>
        </row>
        <row r="205">
          <cell r="G205" t="str">
            <v/>
          </cell>
        </row>
        <row r="206">
          <cell r="G206" t="str">
            <v/>
          </cell>
        </row>
        <row r="207">
          <cell r="G207" t="str">
            <v/>
          </cell>
        </row>
        <row r="208">
          <cell r="G208" t="str">
            <v/>
          </cell>
        </row>
        <row r="209">
          <cell r="G209" t="str">
            <v/>
          </cell>
        </row>
        <row r="210">
          <cell r="G210" t="str">
            <v/>
          </cell>
        </row>
        <row r="211">
          <cell r="G211" t="str">
            <v/>
          </cell>
        </row>
        <row r="212">
          <cell r="G212" t="str">
            <v/>
          </cell>
        </row>
        <row r="213">
          <cell r="G213" t="str">
            <v/>
          </cell>
        </row>
        <row r="214">
          <cell r="G214" t="str">
            <v/>
          </cell>
        </row>
        <row r="215">
          <cell r="G215" t="str">
            <v/>
          </cell>
        </row>
        <row r="216">
          <cell r="G216" t="str">
            <v/>
          </cell>
        </row>
        <row r="217">
          <cell r="G217" t="str">
            <v/>
          </cell>
        </row>
        <row r="218">
          <cell r="G218" t="str">
            <v/>
          </cell>
        </row>
        <row r="219">
          <cell r="G219" t="str">
            <v/>
          </cell>
        </row>
        <row r="220">
          <cell r="G220" t="str">
            <v/>
          </cell>
        </row>
        <row r="221">
          <cell r="G221" t="str">
            <v/>
          </cell>
        </row>
        <row r="222">
          <cell r="G222" t="str">
            <v/>
          </cell>
        </row>
        <row r="223">
          <cell r="G223" t="str">
            <v/>
          </cell>
        </row>
        <row r="224">
          <cell r="G224" t="str">
            <v/>
          </cell>
        </row>
        <row r="225">
          <cell r="G225" t="str">
            <v/>
          </cell>
        </row>
        <row r="226">
          <cell r="G226" t="str">
            <v/>
          </cell>
        </row>
        <row r="227">
          <cell r="G227" t="str">
            <v/>
          </cell>
        </row>
        <row r="228">
          <cell r="G228" t="str">
            <v/>
          </cell>
        </row>
        <row r="229">
          <cell r="G229" t="str">
            <v/>
          </cell>
        </row>
        <row r="230">
          <cell r="G230" t="str">
            <v/>
          </cell>
        </row>
        <row r="231">
          <cell r="G231" t="str">
            <v/>
          </cell>
        </row>
        <row r="232">
          <cell r="G232" t="str">
            <v/>
          </cell>
        </row>
        <row r="233">
          <cell r="G233" t="str">
            <v/>
          </cell>
        </row>
        <row r="234">
          <cell r="G234" t="str">
            <v/>
          </cell>
        </row>
        <row r="235">
          <cell r="G235" t="str">
            <v/>
          </cell>
        </row>
        <row r="236">
          <cell r="G236" t="str">
            <v/>
          </cell>
        </row>
        <row r="237">
          <cell r="G237" t="str">
            <v/>
          </cell>
        </row>
        <row r="238">
          <cell r="G238" t="str">
            <v/>
          </cell>
        </row>
        <row r="239">
          <cell r="G239" t="str">
            <v/>
          </cell>
        </row>
        <row r="240">
          <cell r="G240" t="str">
            <v/>
          </cell>
        </row>
        <row r="241">
          <cell r="G241" t="str">
            <v/>
          </cell>
        </row>
        <row r="242">
          <cell r="G242" t="str">
            <v/>
          </cell>
        </row>
        <row r="243">
          <cell r="G243" t="str">
            <v/>
          </cell>
        </row>
        <row r="244">
          <cell r="G244" t="str">
            <v/>
          </cell>
        </row>
        <row r="245">
          <cell r="G245" t="str">
            <v/>
          </cell>
        </row>
        <row r="246">
          <cell r="G246" t="str">
            <v/>
          </cell>
        </row>
        <row r="247">
          <cell r="G247" t="str">
            <v/>
          </cell>
        </row>
        <row r="248">
          <cell r="G248" t="str">
            <v/>
          </cell>
        </row>
        <row r="249">
          <cell r="G249" t="str">
            <v/>
          </cell>
        </row>
        <row r="250">
          <cell r="G250" t="str">
            <v/>
          </cell>
        </row>
        <row r="251">
          <cell r="G251" t="str">
            <v/>
          </cell>
        </row>
        <row r="252">
          <cell r="G252" t="str">
            <v/>
          </cell>
        </row>
        <row r="253">
          <cell r="G253" t="str">
            <v/>
          </cell>
        </row>
        <row r="254">
          <cell r="G254" t="str">
            <v/>
          </cell>
        </row>
        <row r="255">
          <cell r="G255" t="str">
            <v/>
          </cell>
        </row>
        <row r="256">
          <cell r="G256" t="str">
            <v/>
          </cell>
        </row>
        <row r="257">
          <cell r="G257" t="str">
            <v/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ULLET"/>
      <sheetName val="TOBACCO"/>
    </sheetNames>
    <sheetDataSet>
      <sheetData sheetId="0">
        <row r="1">
          <cell r="A1" t="str">
            <v>Pullet 1</v>
          </cell>
          <cell r="C1" t="str">
            <v>PULLET ENTERPRISE BUDGET</v>
          </cell>
          <cell r="G1" t="str">
            <v>Revised: May '98</v>
          </cell>
        </row>
        <row r="2">
          <cell r="A2">
            <v>353</v>
          </cell>
          <cell r="F2" t="str">
            <v>Profit / Pullet:</v>
          </cell>
          <cell r="H2" t="e">
            <v>#REF!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  <cell r="G4" t="str">
            <v>=</v>
          </cell>
          <cell r="H4" t="str">
            <v>=</v>
          </cell>
        </row>
        <row r="5">
          <cell r="A5" t="str">
            <v>Basic quota units per cycle</v>
          </cell>
          <cell r="E5">
            <v>15000</v>
          </cell>
          <cell r="F5" t="str">
            <v>Units</v>
          </cell>
        </row>
        <row r="6">
          <cell r="A6" t="str">
            <v>Additional quota units per cycle</v>
          </cell>
          <cell r="E6">
            <v>0</v>
          </cell>
          <cell r="F6" t="str">
            <v>Units</v>
          </cell>
        </row>
        <row r="7">
          <cell r="A7" t="str">
            <v>Number of quota cycles per year</v>
          </cell>
          <cell r="E7">
            <v>2</v>
          </cell>
          <cell r="F7" t="str">
            <v>cycles</v>
          </cell>
        </row>
        <row r="8">
          <cell r="A8" t="str">
            <v>Calculated total annual production:</v>
          </cell>
          <cell r="E8">
            <v>30000</v>
          </cell>
          <cell r="F8" t="str">
            <v>pul.(Allowed by Allocation)</v>
          </cell>
        </row>
        <row r="9">
          <cell r="A9" t="str">
            <v>Weeks per cycle (growing period)</v>
          </cell>
          <cell r="E9">
            <v>19</v>
          </cell>
          <cell r="F9" t="str">
            <v>weeks/cycle</v>
          </cell>
        </row>
        <row r="11">
          <cell r="E11" t="str">
            <v>Optimistic</v>
          </cell>
          <cell r="F11" t="str">
            <v> Expected</v>
          </cell>
          <cell r="G11" t="str">
            <v>   Pessimistic</v>
          </cell>
        </row>
        <row r="12">
          <cell r="E12" t="str">
            <v>-</v>
          </cell>
          <cell r="F12" t="str">
            <v>-</v>
          </cell>
          <cell r="G12" t="str">
            <v>-</v>
          </cell>
          <cell r="H12" t="str">
            <v>-----</v>
          </cell>
        </row>
        <row r="13">
          <cell r="A13" t="str">
            <v>Placement chicks cost ($'s/chick)</v>
          </cell>
          <cell r="E13">
            <v>1.28</v>
          </cell>
          <cell r="F13">
            <v>1.3</v>
          </cell>
          <cell r="G13">
            <v>1.34</v>
          </cell>
        </row>
        <row r="14">
          <cell r="A14" t="str">
            <v>Pullet Price ($'s/Pullet)</v>
          </cell>
          <cell r="E14">
            <v>4.55</v>
          </cell>
          <cell r="F14">
            <v>4.5</v>
          </cell>
          <cell r="G14">
            <v>4.4</v>
          </cell>
          <cell r="K14">
            <v>0</v>
          </cell>
        </row>
        <row r="15">
          <cell r="A15" t="str">
            <v>Death loss (%)</v>
          </cell>
          <cell r="E15">
            <v>1.8</v>
          </cell>
          <cell r="F15">
            <v>2</v>
          </cell>
          <cell r="G15">
            <v>2.5</v>
          </cell>
          <cell r="K15" t="e">
            <v>#REF!</v>
          </cell>
        </row>
        <row r="16">
          <cell r="A16" t="str">
            <v>Feed Consumption (total kg's consumed/feed stage/pullet)</v>
          </cell>
          <cell r="K16" t="e">
            <v>#REF!</v>
          </cell>
        </row>
        <row r="17">
          <cell r="B17" t="str">
            <v>Stage 1 (0-6wks)</v>
          </cell>
          <cell r="E17">
            <v>1</v>
          </cell>
          <cell r="F17">
            <v>1.05</v>
          </cell>
          <cell r="G17">
            <v>1.12</v>
          </cell>
          <cell r="K17">
            <v>135000</v>
          </cell>
        </row>
        <row r="18">
          <cell r="B18" t="str">
            <v>Stage 2 (6-12wks)</v>
          </cell>
          <cell r="E18">
            <v>2.28</v>
          </cell>
          <cell r="F18">
            <v>2.32</v>
          </cell>
          <cell r="G18">
            <v>2.5</v>
          </cell>
          <cell r="K18">
            <v>0</v>
          </cell>
        </row>
        <row r="19">
          <cell r="B19" t="str">
            <v>Stage 3 (12-17wks)</v>
          </cell>
          <cell r="E19">
            <v>2</v>
          </cell>
          <cell r="F19">
            <v>2.1</v>
          </cell>
          <cell r="G19">
            <v>2.21</v>
          </cell>
        </row>
        <row r="20">
          <cell r="B20" t="str">
            <v>Stage 4 (17-19wks)</v>
          </cell>
          <cell r="E20">
            <v>0.98</v>
          </cell>
          <cell r="F20">
            <v>1</v>
          </cell>
          <cell r="G20">
            <v>1.1</v>
          </cell>
          <cell r="K20" t="str">
            <v>Tran!D3..G14</v>
          </cell>
        </row>
        <row r="21">
          <cell r="A21" t="str">
            <v>Purchased feed price ($'s per tonne)</v>
          </cell>
          <cell r="K21" t="str">
            <v>Allo!C3..J14</v>
          </cell>
        </row>
        <row r="22">
          <cell r="B22" t="str">
            <v>Starter</v>
          </cell>
          <cell r="E22">
            <v>226</v>
          </cell>
          <cell r="F22">
            <v>236</v>
          </cell>
          <cell r="G22">
            <v>246</v>
          </cell>
          <cell r="K22">
            <v>30000</v>
          </cell>
        </row>
        <row r="23">
          <cell r="B23" t="str">
            <v>Grower 1</v>
          </cell>
          <cell r="E23">
            <v>213</v>
          </cell>
          <cell r="F23">
            <v>223</v>
          </cell>
          <cell r="G23">
            <v>233</v>
          </cell>
          <cell r="K23">
            <v>39795.91836734694</v>
          </cell>
        </row>
        <row r="24">
          <cell r="B24" t="str">
            <v>Grower 2</v>
          </cell>
          <cell r="E24">
            <v>197</v>
          </cell>
          <cell r="F24">
            <v>207</v>
          </cell>
          <cell r="G24">
            <v>217</v>
          </cell>
          <cell r="K24">
            <v>43648.77551020408</v>
          </cell>
        </row>
        <row r="25">
          <cell r="B25" t="str">
            <v>Pre-Layer</v>
          </cell>
          <cell r="E25">
            <v>216</v>
          </cell>
          <cell r="F25">
            <v>226</v>
          </cell>
          <cell r="G25">
            <v>236</v>
          </cell>
          <cell r="K25">
            <v>153.0612244897959</v>
          </cell>
        </row>
        <row r="26">
          <cell r="K26">
            <v>356.1224489795918</v>
          </cell>
        </row>
        <row r="27">
          <cell r="A27" t="str">
            <v>Expected yearly chick purchases</v>
          </cell>
          <cell r="F27">
            <v>30612.244897959183</v>
          </cell>
          <cell r="G27" t="str">
            <v>chicks</v>
          </cell>
          <cell r="K27">
            <v>1071.4285714285713</v>
          </cell>
        </row>
        <row r="28">
          <cell r="K28">
            <v>0</v>
          </cell>
        </row>
        <row r="29">
          <cell r="A29" t="str">
            <v>EXPENSES</v>
          </cell>
        </row>
        <row r="30">
          <cell r="A30" t="str">
            <v>-</v>
          </cell>
        </row>
        <row r="31">
          <cell r="A31" t="str">
            <v>Variable Costs:</v>
          </cell>
          <cell r="G31" t="str">
            <v> $/Cycle:</v>
          </cell>
          <cell r="H31" t="str">
            <v> $/Year:</v>
          </cell>
        </row>
        <row r="32">
          <cell r="A32" t="str">
            <v> Feed costs:</v>
          </cell>
          <cell r="G32" t="str">
            <v>-</v>
          </cell>
          <cell r="H32" t="str">
            <v>-</v>
          </cell>
        </row>
        <row r="33">
          <cell r="A33" t="str">
            <v>  Purchased feed</v>
          </cell>
          <cell r="G33">
            <v>21824.38775510204</v>
          </cell>
          <cell r="H33">
            <v>43648.77551020408</v>
          </cell>
        </row>
        <row r="34">
          <cell r="A34" t="str">
            <v>   kilograms/bird</v>
          </cell>
          <cell r="C34">
            <v>6.470000000000001</v>
          </cell>
          <cell r="D34" t="str">
            <v>(computed requirement)</v>
          </cell>
        </row>
        <row r="35">
          <cell r="A35" t="str">
            <v>   tonnes/cycle</v>
          </cell>
          <cell r="C35">
            <v>99.03061224489797</v>
          </cell>
          <cell r="D35" t="str">
            <v>(computed requirement)</v>
          </cell>
        </row>
        <row r="36">
          <cell r="A36" t="str">
            <v>   tonnes/year</v>
          </cell>
          <cell r="C36">
            <v>198.06122448979593</v>
          </cell>
          <cell r="D36" t="str">
            <v>(computed requirement)</v>
          </cell>
        </row>
        <row r="37">
          <cell r="A37" t="str">
            <v>   dollars/bird</v>
          </cell>
          <cell r="C37">
            <v>1.4258600000000001</v>
          </cell>
          <cell r="D37" t="str">
            <v>(calculated)</v>
          </cell>
        </row>
        <row r="38">
          <cell r="A38" t="str">
            <v>  Other#1</v>
          </cell>
          <cell r="C38">
            <v>0</v>
          </cell>
          <cell r="D38" t="str">
            <v>(cost per cycle)</v>
          </cell>
          <cell r="G38">
            <v>0</v>
          </cell>
          <cell r="H38">
            <v>0</v>
          </cell>
        </row>
        <row r="39">
          <cell r="A39" t="str">
            <v>  Other#2</v>
          </cell>
          <cell r="C39">
            <v>0</v>
          </cell>
          <cell r="D39" t="str">
            <v>(cost per cycle)</v>
          </cell>
          <cell r="G39">
            <v>0</v>
          </cell>
          <cell r="H39">
            <v>0</v>
          </cell>
        </row>
        <row r="41">
          <cell r="A41" t="str">
            <v>  Homegrown Feed *</v>
          </cell>
        </row>
        <row r="42">
          <cell r="A42" t="str">
            <v>    Crop Transfers    (from Transfer Table)</v>
          </cell>
          <cell r="G42" t="e">
            <v>#REF!</v>
          </cell>
          <cell r="H42" t="e">
            <v>#REF!</v>
          </cell>
        </row>
        <row r="43">
          <cell r="A43" t="str">
            <v> Total Feed Costs</v>
          </cell>
          <cell r="G43" t="e">
            <v>#REF!</v>
          </cell>
          <cell r="H43" t="e">
            <v>#REF!</v>
          </cell>
        </row>
        <row r="45">
          <cell r="B45" t="str">
            <v>  * (be careful not to include crop costs which</v>
          </cell>
        </row>
        <row r="46">
          <cell r="B46" t="str">
            <v>     have already been entered in the transfer table.)</v>
          </cell>
        </row>
        <row r="48">
          <cell r="A48" t="str">
            <v> Expected Yearly Chick Purchases (in dollars)</v>
          </cell>
          <cell r="G48">
            <v>19897.95918367347</v>
          </cell>
          <cell r="H48">
            <v>39795.91836734694</v>
          </cell>
        </row>
        <row r="49">
          <cell r="A49" t="str">
            <v>=</v>
          </cell>
          <cell r="B49" t="str">
            <v>=</v>
          </cell>
          <cell r="C49" t="str">
            <v>=</v>
          </cell>
          <cell r="D49" t="str">
            <v>=</v>
          </cell>
          <cell r="E49" t="str">
            <v>=</v>
          </cell>
          <cell r="F49" t="str">
            <v>=</v>
          </cell>
          <cell r="G49" t="str">
            <v>=</v>
          </cell>
          <cell r="H49" t="str">
            <v>=</v>
          </cell>
        </row>
        <row r="51">
          <cell r="D51" t="str">
            <v> Unit</v>
          </cell>
          <cell r="E51" t="str">
            <v>Number</v>
          </cell>
          <cell r="F51" t="str">
            <v>$/Unit</v>
          </cell>
          <cell r="G51" t="str">
            <v>  $/Cycle:</v>
          </cell>
          <cell r="H51" t="str">
            <v>   $/Year</v>
          </cell>
        </row>
        <row r="52"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</row>
        <row r="53">
          <cell r="A53" t="str">
            <v> Hired Labour</v>
          </cell>
          <cell r="D53" t="str">
            <v>hrs</v>
          </cell>
          <cell r="E53">
            <v>0</v>
          </cell>
          <cell r="F53">
            <v>7.75</v>
          </cell>
          <cell r="G53">
            <v>0</v>
          </cell>
          <cell r="H53">
            <v>0</v>
          </cell>
        </row>
        <row r="54">
          <cell r="A54" t="str">
            <v> Veterinary &amp; Medicine</v>
          </cell>
          <cell r="D54" t="str">
            <v>1000 Chks</v>
          </cell>
          <cell r="E54">
            <v>30.612244897959183</v>
          </cell>
          <cell r="F54">
            <v>5</v>
          </cell>
          <cell r="G54">
            <v>76.53061224489795</v>
          </cell>
          <cell r="H54">
            <v>153.0612244897959</v>
          </cell>
        </row>
        <row r="55">
          <cell r="A55" t="str">
            <v> Bedding</v>
          </cell>
          <cell r="D55" t="str">
            <v>1000 Chks</v>
          </cell>
          <cell r="E55">
            <v>30.612244897959183</v>
          </cell>
          <cell r="F55">
            <v>10</v>
          </cell>
          <cell r="G55">
            <v>153.0612244897959</v>
          </cell>
          <cell r="H55">
            <v>306.1224489795918</v>
          </cell>
        </row>
        <row r="56">
          <cell r="A56" t="str">
            <v> Marketing Board Fees</v>
          </cell>
          <cell r="D56" t="str">
            <v>1000 Chks</v>
          </cell>
          <cell r="E56">
            <v>30.612244897959183</v>
          </cell>
          <cell r="F56">
            <v>20</v>
          </cell>
          <cell r="G56">
            <v>306.1224489795918</v>
          </cell>
          <cell r="H56">
            <v>612.2448979591836</v>
          </cell>
        </row>
        <row r="57">
          <cell r="A57" t="str">
            <v> Transportation</v>
          </cell>
          <cell r="D57" t="str">
            <v>1000 Chks</v>
          </cell>
          <cell r="E57">
            <v>30.612244897959183</v>
          </cell>
          <cell r="F57">
            <v>15</v>
          </cell>
          <cell r="G57">
            <v>229.59183673469389</v>
          </cell>
          <cell r="H57">
            <v>459.18367346938777</v>
          </cell>
        </row>
        <row r="58">
          <cell r="A58" t="str">
            <v> Heat</v>
          </cell>
          <cell r="D58" t="str">
            <v>1000 Chks</v>
          </cell>
          <cell r="E58">
            <v>30.612244897959183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Custom Work</v>
          </cell>
          <cell r="D59" t="str">
            <v>$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 Equipment Rental</v>
          </cell>
          <cell r="D60" t="str">
            <v>$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 Miscellaneous </v>
          </cell>
          <cell r="D61" t="str">
            <v>$</v>
          </cell>
          <cell r="E61">
            <v>1</v>
          </cell>
          <cell r="F61">
            <v>50</v>
          </cell>
          <cell r="G61">
            <v>25</v>
          </cell>
          <cell r="H61">
            <v>50</v>
          </cell>
        </row>
        <row r="63">
          <cell r="D63" t="str">
            <v>Typical</v>
          </cell>
          <cell r="E63" t="str">
            <v> Enterprise</v>
          </cell>
          <cell r="K63" t="str">
            <v>Wfarm!L4</v>
          </cell>
        </row>
        <row r="64">
          <cell r="C64" t="str">
            <v>         $/Chick: $ Allocated: $/Chick: $/Cycle: $/Year:</v>
          </cell>
          <cell r="D64" t="str">
            <v>$/1000 Chks</v>
          </cell>
          <cell r="E64" t="str">
            <v> $ Allocated:</v>
          </cell>
          <cell r="G64" t="str">
            <v>  $/Cycle:</v>
          </cell>
          <cell r="H64" t="str">
            <v>   $/Year</v>
          </cell>
          <cell r="K64" t="str">
            <v>Wfarm!L5</v>
          </cell>
        </row>
        <row r="65">
          <cell r="D65" t="str">
            <v>-</v>
          </cell>
          <cell r="E65" t="str">
            <v>-</v>
          </cell>
          <cell r="F65" t="str">
            <v>---</v>
          </cell>
          <cell r="G65" t="str">
            <v>-</v>
          </cell>
          <cell r="H65" t="str">
            <v>-</v>
          </cell>
          <cell r="K65" t="str">
            <v>Wfarm!L6</v>
          </cell>
        </row>
        <row r="66">
          <cell r="A66" t="str">
            <v> Fuel</v>
          </cell>
          <cell r="D66">
            <v>10</v>
          </cell>
          <cell r="E66" t="e">
            <v>#REF!</v>
          </cell>
          <cell r="G66" t="e">
            <v>#REF!</v>
          </cell>
          <cell r="H66" t="e">
            <v>#REF!</v>
          </cell>
          <cell r="K66" t="str">
            <v>Wfarm!L7</v>
          </cell>
        </row>
        <row r="67">
          <cell r="A67" t="str">
            <v> Mach. Repair &amp; Maint.</v>
          </cell>
          <cell r="D67">
            <v>10</v>
          </cell>
          <cell r="E67" t="e">
            <v>#REF!</v>
          </cell>
          <cell r="G67" t="e">
            <v>#REF!</v>
          </cell>
          <cell r="H67" t="e">
            <v>#REF!</v>
          </cell>
          <cell r="K67" t="str">
            <v>Wfarm!L8</v>
          </cell>
        </row>
        <row r="68">
          <cell r="A68" t="str">
            <v> Bldg. Repair &amp; Maint.</v>
          </cell>
          <cell r="D68">
            <v>10</v>
          </cell>
          <cell r="E68" t="e">
            <v>#REF!</v>
          </cell>
          <cell r="G68" t="e">
            <v>#REF!</v>
          </cell>
          <cell r="H68" t="e">
            <v>#REF!</v>
          </cell>
        </row>
        <row r="69">
          <cell r="A69" t="str">
            <v> Rent and Labour</v>
          </cell>
          <cell r="D69">
            <v>10</v>
          </cell>
          <cell r="E69" t="e">
            <v>#REF!</v>
          </cell>
          <cell r="G69" t="e">
            <v>#REF!</v>
          </cell>
          <cell r="H69" t="e">
            <v>#REF!</v>
          </cell>
        </row>
        <row r="70">
          <cell r="A70" t="str">
            <v> General Variable Costs</v>
          </cell>
          <cell r="D70">
            <v>10</v>
          </cell>
          <cell r="E70" t="e">
            <v>#REF!</v>
          </cell>
          <cell r="G70" t="e">
            <v>#REF!</v>
          </cell>
          <cell r="H70" t="e">
            <v>#REF!</v>
          </cell>
          <cell r="J70" t="e">
            <v>#REF!</v>
          </cell>
          <cell r="K70" t="str">
            <v>Wfarm!L9</v>
          </cell>
        </row>
        <row r="72">
          <cell r="A72" t="str">
            <v>Interest on</v>
          </cell>
          <cell r="C72" t="str">
            <v>% Int.</v>
          </cell>
          <cell r="D72" t="str">
            <v>% Year</v>
          </cell>
        </row>
        <row r="73">
          <cell r="A73" t="str">
            <v>Operating Capital</v>
          </cell>
          <cell r="C73">
            <v>6</v>
          </cell>
          <cell r="D73">
            <v>50</v>
          </cell>
          <cell r="E73" t="e">
            <v>#REF!</v>
          </cell>
          <cell r="G73" t="e">
            <v>#REF!</v>
          </cell>
          <cell r="H73" t="e">
            <v>#REF!</v>
          </cell>
        </row>
        <row r="74">
          <cell r="A74" t="str">
            <v>Total Variable Costs</v>
          </cell>
          <cell r="G74" t="e">
            <v>#REF!</v>
          </cell>
          <cell r="H74" t="e">
            <v>#REF!</v>
          </cell>
        </row>
        <row r="76">
          <cell r="K76" t="str">
            <v>Wfarm!K4</v>
          </cell>
        </row>
        <row r="77">
          <cell r="D77" t="str">
            <v>Typical</v>
          </cell>
          <cell r="E77" t="str">
            <v> Enterprise</v>
          </cell>
          <cell r="K77" t="str">
            <v>Wfarm!K5</v>
          </cell>
        </row>
        <row r="78">
          <cell r="A78" t="str">
            <v>Fixed Costs:</v>
          </cell>
          <cell r="C78" t="str">
            <v>         $/Chick: $ Allocated: $/Chick: $/Cycle: $/Year:</v>
          </cell>
          <cell r="D78" t="str">
            <v>$/1000 Chks</v>
          </cell>
          <cell r="E78" t="str">
            <v> $ Allocated:</v>
          </cell>
          <cell r="G78" t="str">
            <v>  $/Cycle:</v>
          </cell>
          <cell r="H78" t="str">
            <v>   $/Year</v>
          </cell>
          <cell r="K78" t="str">
            <v>Wfarm!K6</v>
          </cell>
        </row>
        <row r="79">
          <cell r="D79" t="str">
            <v>-</v>
          </cell>
          <cell r="E79" t="str">
            <v>-</v>
          </cell>
          <cell r="F79" t="str">
            <v>---</v>
          </cell>
          <cell r="G79" t="str">
            <v>-</v>
          </cell>
          <cell r="H79" t="str">
            <v>-</v>
          </cell>
          <cell r="K79" t="str">
            <v>Wfarm!K7</v>
          </cell>
        </row>
        <row r="80">
          <cell r="A80" t="str">
            <v> Depreciation</v>
          </cell>
          <cell r="D80">
            <v>10</v>
          </cell>
          <cell r="E80" t="e">
            <v>#REF!</v>
          </cell>
          <cell r="G80" t="e">
            <v>#REF!</v>
          </cell>
          <cell r="H80" t="e">
            <v>#REF!</v>
          </cell>
        </row>
        <row r="81">
          <cell r="A81" t="str">
            <v> Interest on Term Loans</v>
          </cell>
          <cell r="D81">
            <v>10</v>
          </cell>
          <cell r="E81" t="e">
            <v>#REF!</v>
          </cell>
          <cell r="G81" t="e">
            <v>#REF!</v>
          </cell>
          <cell r="H81" t="e">
            <v>#REF!</v>
          </cell>
        </row>
        <row r="82">
          <cell r="A82" t="str">
            <v> Long-term Leases</v>
          </cell>
          <cell r="D82">
            <v>10</v>
          </cell>
          <cell r="E82" t="e">
            <v>#REF!</v>
          </cell>
          <cell r="G82" t="e">
            <v>#REF!</v>
          </cell>
          <cell r="H82" t="e">
            <v>#REF!</v>
          </cell>
        </row>
        <row r="83">
          <cell r="A83" t="str">
            <v> General Fixed Costs</v>
          </cell>
          <cell r="D83">
            <v>10</v>
          </cell>
          <cell r="E83" t="e">
            <v>#REF!</v>
          </cell>
          <cell r="G83" t="e">
            <v>#REF!</v>
          </cell>
          <cell r="H83" t="e">
            <v>#REF!</v>
          </cell>
        </row>
        <row r="84">
          <cell r="A84" t="str">
            <v>Total Fixed Costs</v>
          </cell>
          <cell r="G84" t="e">
            <v>#REF!</v>
          </cell>
          <cell r="H84" t="e">
            <v>#REF!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7">
          <cell r="A87" t="str">
            <v>Revenues:</v>
          </cell>
          <cell r="E87" t="str">
            <v>$/bird</v>
          </cell>
          <cell r="F87" t="str">
            <v>$/Cycle</v>
          </cell>
          <cell r="G87" t="str">
            <v>$/Year</v>
          </cell>
        </row>
        <row r="88">
          <cell r="E88" t="str">
            <v>-</v>
          </cell>
          <cell r="F88" t="str">
            <v>-</v>
          </cell>
          <cell r="G88" t="str">
            <v>-</v>
          </cell>
        </row>
        <row r="89">
          <cell r="A89" t="str">
            <v>Total Expected Revenues</v>
          </cell>
          <cell r="E89">
            <v>4.5</v>
          </cell>
          <cell r="F89">
            <v>67500</v>
          </cell>
          <cell r="G89">
            <v>135000</v>
          </cell>
        </row>
        <row r="90">
          <cell r="A90" t="str">
            <v>    less: Variable Costs</v>
          </cell>
          <cell r="E90" t="e">
            <v>#REF!</v>
          </cell>
          <cell r="F90" t="e">
            <v>#REF!</v>
          </cell>
          <cell r="G90" t="e">
            <v>#REF!</v>
          </cell>
        </row>
        <row r="91">
          <cell r="A91" t="str">
            <v>Expected Operating Margin</v>
          </cell>
          <cell r="E91" t="e">
            <v>#REF!</v>
          </cell>
          <cell r="F91" t="e">
            <v>#REF!</v>
          </cell>
          <cell r="G91" t="e">
            <v>#REF!</v>
          </cell>
        </row>
        <row r="92">
          <cell r="A92" t="str">
            <v>    less: Fixed Costs</v>
          </cell>
          <cell r="E92" t="e">
            <v>#REF!</v>
          </cell>
          <cell r="F92" t="e">
            <v>#REF!</v>
          </cell>
          <cell r="G92" t="e">
            <v>#REF!</v>
          </cell>
        </row>
        <row r="93">
          <cell r="A93" t="str">
            <v>Expected Net Revenue</v>
          </cell>
          <cell r="E93" t="e">
            <v>#REF!</v>
          </cell>
          <cell r="F93" t="e">
            <v>#REF!</v>
          </cell>
          <cell r="G93" t="e">
            <v>#REF!</v>
          </cell>
        </row>
        <row r="95">
          <cell r="A95" t="str">
            <v>Expected break-even dollars per pullet</v>
          </cell>
        </row>
        <row r="96">
          <cell r="A96" t="str">
            <v>for birds sold; needed to cover:</v>
          </cell>
          <cell r="E96" t="str">
            <v>Variable Costs</v>
          </cell>
          <cell r="G96" t="e">
            <v>#REF!</v>
          </cell>
        </row>
        <row r="97">
          <cell r="E97" t="str">
            <v>Fixed Costs</v>
          </cell>
          <cell r="G97" t="e">
            <v>#REF!</v>
          </cell>
        </row>
        <row r="98">
          <cell r="E98" t="str">
            <v>Total Costs</v>
          </cell>
          <cell r="G98" t="e">
            <v>#REF!</v>
          </cell>
          <cell r="I98">
            <v>2.503125</v>
          </cell>
        </row>
        <row r="99">
          <cell r="A99" t="str">
            <v>=</v>
          </cell>
          <cell r="B99" t="str">
            <v>=</v>
          </cell>
          <cell r="C99" t="str">
            <v>=</v>
          </cell>
          <cell r="D99" t="str">
            <v>=</v>
          </cell>
          <cell r="E99" t="str">
            <v>=</v>
          </cell>
          <cell r="F99" t="str">
            <v>=</v>
          </cell>
          <cell r="G99" t="str">
            <v>=</v>
          </cell>
          <cell r="H99" t="str">
            <v>=</v>
          </cell>
          <cell r="I99">
            <v>0.0009000000000000016</v>
          </cell>
        </row>
        <row r="100">
          <cell r="I100">
            <v>0.0003107556000000004</v>
          </cell>
        </row>
        <row r="101">
          <cell r="I101">
            <v>0.0011399609000000011</v>
          </cell>
        </row>
        <row r="102">
          <cell r="B102" t="str">
            <v>Chance of at least breaking even       ==&gt;</v>
          </cell>
          <cell r="G102" t="e">
            <v>#REF!</v>
          </cell>
          <cell r="I102">
            <v>0.0009134102249999999</v>
          </cell>
        </row>
        <row r="103">
          <cell r="B103" t="str">
            <v>Chance of at least</v>
          </cell>
          <cell r="D103">
            <v>0</v>
          </cell>
          <cell r="E103" t="str">
            <v>$/cycle retn==&gt;</v>
          </cell>
          <cell r="G103" t="e">
            <v>#REF!</v>
          </cell>
          <cell r="I103">
            <v>0.00028387360000000034</v>
          </cell>
        </row>
        <row r="104">
          <cell r="B104" t="str">
            <v>Coefficient of variation               ==&gt;</v>
          </cell>
          <cell r="G104">
            <v>0</v>
          </cell>
          <cell r="I104">
            <v>2349027176.4811535</v>
          </cell>
        </row>
        <row r="105">
          <cell r="I105">
            <v>48466.763627058426</v>
          </cell>
        </row>
        <row r="106">
          <cell r="C106" t="str">
            <v>      Returns</v>
          </cell>
          <cell r="F106" t="str">
            <v>Chances of at least</v>
          </cell>
          <cell r="I106">
            <v>1.6155587875686142</v>
          </cell>
        </row>
        <row r="107">
          <cell r="C107" t="str">
            <v>$/pullet</v>
          </cell>
          <cell r="D107" t="str">
            <v>$/cycle</v>
          </cell>
          <cell r="F107" t="str">
            <v>this return per pulletkg</v>
          </cell>
          <cell r="I107">
            <v>24233.381813529213</v>
          </cell>
        </row>
        <row r="108">
          <cell r="I108" t="str">
            <v> +b.e.</v>
          </cell>
          <cell r="J108" t="str">
            <v> +profit</v>
          </cell>
        </row>
        <row r="109">
          <cell r="C109" t="e">
            <v>#REF!</v>
          </cell>
          <cell r="D109" t="e">
            <v>#REF!</v>
          </cell>
          <cell r="F109" t="str">
            <v>       17 %</v>
          </cell>
          <cell r="I109" t="e">
            <v>#REF!</v>
          </cell>
          <cell r="J109" t="e">
            <v>#REF!</v>
          </cell>
        </row>
        <row r="110">
          <cell r="C110" t="e">
            <v>#REF!</v>
          </cell>
          <cell r="D110" t="e">
            <v>#REF!</v>
          </cell>
          <cell r="F110" t="str">
            <v>       33 %</v>
          </cell>
          <cell r="I110" t="e">
            <v>#REF!</v>
          </cell>
          <cell r="J110" t="e">
            <v>#REF!</v>
          </cell>
        </row>
        <row r="111">
          <cell r="C111" t="e">
            <v>#REF!</v>
          </cell>
          <cell r="D111" t="e">
            <v>#REF!</v>
          </cell>
          <cell r="F111" t="str">
            <v>       50 %</v>
          </cell>
          <cell r="I111" t="e">
            <v>#REF!</v>
          </cell>
          <cell r="J111" t="e">
            <v>#REF!</v>
          </cell>
        </row>
        <row r="112">
          <cell r="C112" t="e">
            <v>#REF!</v>
          </cell>
          <cell r="D112" t="e">
            <v>#REF!</v>
          </cell>
          <cell r="F112" t="str">
            <v>       67 %</v>
          </cell>
          <cell r="I112" t="e">
            <v>#REF!</v>
          </cell>
          <cell r="J112" t="e">
            <v>#REF!</v>
          </cell>
        </row>
        <row r="113">
          <cell r="C113" t="e">
            <v>#REF!</v>
          </cell>
          <cell r="D113" t="e">
            <v>#REF!</v>
          </cell>
          <cell r="F113" t="str">
            <v>       83 %</v>
          </cell>
        </row>
        <row r="115">
          <cell r="D115" t="str">
            <v> - End of Budget -</v>
          </cell>
        </row>
        <row r="116">
          <cell r="A116" t="str">
            <v>=</v>
          </cell>
          <cell r="B116" t="str">
            <v>=</v>
          </cell>
          <cell r="C116" t="str">
            <v>=</v>
          </cell>
          <cell r="D116" t="str">
            <v>=</v>
          </cell>
          <cell r="E116" t="str">
            <v>=</v>
          </cell>
          <cell r="F116" t="str">
            <v>=</v>
          </cell>
          <cell r="G116" t="str">
            <v>=</v>
          </cell>
          <cell r="H116" t="str">
            <v>=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ILAGE"/>
    </sheetNames>
    <sheetDataSet>
      <sheetData sheetId="0">
        <row r="1">
          <cell r="A1" t="str">
            <v>Silage 1</v>
          </cell>
          <cell r="C1" t="str">
            <v>CORN SILAGE ENTERPRISE BUDGET</v>
          </cell>
          <cell r="G1" t="str">
            <v>Revised: May '98</v>
          </cell>
        </row>
        <row r="2">
          <cell r="A2">
            <v>701</v>
          </cell>
          <cell r="F2" t="str">
            <v>Profit Per Acre</v>
          </cell>
          <cell r="H2" t="e">
            <v>#REF!</v>
          </cell>
        </row>
        <row r="3">
          <cell r="B3" t="str">
            <v>Number of Acres =</v>
          </cell>
          <cell r="D3">
            <v>1</v>
          </cell>
          <cell r="F3" t="str">
            <v>1 tonne =</v>
          </cell>
          <cell r="G3">
            <v>1.1023</v>
          </cell>
          <cell r="H3" t="str">
            <v>ton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tonne/acre</v>
          </cell>
          <cell r="C7">
            <v>16</v>
          </cell>
          <cell r="E7">
            <v>12.5</v>
          </cell>
          <cell r="G7">
            <v>11.4</v>
          </cell>
        </row>
        <row r="8">
          <cell r="A8" t="str">
            <v>Price - $/tonne</v>
          </cell>
          <cell r="C8">
            <v>27.83</v>
          </cell>
          <cell r="E8">
            <v>26.25</v>
          </cell>
          <cell r="G8">
            <v>25.3</v>
          </cell>
        </row>
        <row r="9">
          <cell r="A9" t="str">
            <v>Production - tonne</v>
          </cell>
          <cell r="C9">
            <v>16</v>
          </cell>
          <cell r="E9">
            <v>12.5</v>
          </cell>
          <cell r="G9">
            <v>11.4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0.008298442822155591</v>
          </cell>
          <cell r="E13" t="str">
            <v>   C.I. Premium/ac:</v>
          </cell>
          <cell r="H13">
            <v>13.05</v>
          </cell>
          <cell r="K13">
            <v>0.02514679643077452</v>
          </cell>
        </row>
        <row r="14">
          <cell r="A14" t="str">
            <v> Guaranteed Price/bu</v>
          </cell>
          <cell r="D14">
            <v>23</v>
          </cell>
          <cell r="E14" t="str">
            <v>   Level of Coverage</v>
          </cell>
          <cell r="H14">
            <v>0.85</v>
          </cell>
          <cell r="K14">
            <v>7.090262562564263</v>
          </cell>
        </row>
        <row r="15">
          <cell r="A15" t="str">
            <v> Probability of a payout</v>
          </cell>
          <cell r="D15">
            <v>0.0051064266261023235</v>
          </cell>
          <cell r="E15" t="str">
            <v>   Guaranteed Yield/ac.</v>
          </cell>
          <cell r="H15">
            <v>10.625</v>
          </cell>
          <cell r="K15" t="e">
            <v>#REF!</v>
          </cell>
        </row>
        <row r="16">
          <cell r="A16" t="str">
            <v> Expected Payout/ac</v>
          </cell>
          <cell r="D16">
            <v>0.02514679643077452</v>
          </cell>
          <cell r="E16" t="str">
            <v>   Probability of a payout</v>
          </cell>
          <cell r="H16">
            <v>0.2074692832694126</v>
          </cell>
          <cell r="K16" t="e">
            <v>#REF!</v>
          </cell>
        </row>
        <row r="17">
          <cell r="D17">
            <v>0.0051064266261023235</v>
          </cell>
          <cell r="E17" t="str">
            <v>   Expected Payout/ac</v>
          </cell>
          <cell r="H17">
            <v>7.065115766133489</v>
          </cell>
          <cell r="K17">
            <v>328.125</v>
          </cell>
        </row>
        <row r="18">
          <cell r="H18">
            <v>0.2074692832694126</v>
          </cell>
          <cell r="K18">
            <v>101.04864041674843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12.5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26.25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</v>
          </cell>
          <cell r="G22" t="str">
            <v>  -------</v>
          </cell>
          <cell r="H22" t="str">
            <v>  -------</v>
          </cell>
          <cell r="K22">
            <v>1</v>
          </cell>
        </row>
        <row r="23">
          <cell r="A23" t="str">
            <v>Variable Costs:</v>
          </cell>
          <cell r="K23">
            <v>35.339999999999996</v>
          </cell>
        </row>
        <row r="24">
          <cell r="A24" t="str">
            <v> Seed </v>
          </cell>
          <cell r="D24" t="str">
            <v>M-kernel</v>
          </cell>
          <cell r="E24">
            <v>31</v>
          </cell>
          <cell r="F24">
            <v>1.14</v>
          </cell>
          <cell r="G24">
            <v>35.339999999999996</v>
          </cell>
          <cell r="H24">
            <v>35.339999999999996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K26">
            <v>13.058298442822156</v>
          </cell>
        </row>
        <row r="27">
          <cell r="A27" t="str">
            <v> Fertilizer   #1</v>
          </cell>
          <cell r="C27" t="str">
            <v>11-52-0</v>
          </cell>
          <cell r="D27" t="str">
            <v>kg</v>
          </cell>
          <cell r="E27">
            <v>28</v>
          </cell>
          <cell r="F27">
            <v>0.448</v>
          </cell>
          <cell r="G27">
            <v>12.544</v>
          </cell>
          <cell r="H27">
            <v>12.544</v>
          </cell>
          <cell r="K27">
            <v>0</v>
          </cell>
        </row>
        <row r="28">
          <cell r="A28" t="str">
            <v>              #2</v>
          </cell>
          <cell r="C28" t="str">
            <v>0-0-60</v>
          </cell>
          <cell r="D28" t="str">
            <v>kg</v>
          </cell>
          <cell r="E28">
            <v>32</v>
          </cell>
          <cell r="F28">
            <v>0.24</v>
          </cell>
          <cell r="G28">
            <v>7.68</v>
          </cell>
          <cell r="H28">
            <v>7.68</v>
          </cell>
          <cell r="K28">
            <v>0</v>
          </cell>
        </row>
        <row r="29">
          <cell r="A29" t="str">
            <v>              #3</v>
          </cell>
          <cell r="C29" t="str">
            <v>28-0-0</v>
          </cell>
          <cell r="D29" t="str">
            <v>kg</v>
          </cell>
          <cell r="E29">
            <v>202</v>
          </cell>
          <cell r="F29">
            <v>0.225</v>
          </cell>
          <cell r="G29">
            <v>45.45</v>
          </cell>
          <cell r="H29">
            <v>45.45</v>
          </cell>
        </row>
        <row r="30">
          <cell r="J30" t="str">
            <v>Grip prob factor (component of grip)</v>
          </cell>
          <cell r="K30">
            <v>1.8546857707509892</v>
          </cell>
        </row>
        <row r="31">
          <cell r="D31" t="str">
            <v>Unit/Ac</v>
          </cell>
          <cell r="E31" t="str">
            <v>Number</v>
          </cell>
          <cell r="F31" t="str">
            <v>Cost/Unit</v>
          </cell>
          <cell r="G31" t="str">
            <v>$/Acre</v>
          </cell>
          <cell r="H31" t="str">
            <v>$/Year</v>
          </cell>
          <cell r="J31" t="str">
            <v>C.I. prob factor (component of Crop Insurance)</v>
          </cell>
          <cell r="K31">
            <v>1.2711983695652174</v>
          </cell>
        </row>
        <row r="32">
          <cell r="A32" t="str">
            <v> Herbicide </v>
          </cell>
          <cell r="D32" t="str">
            <v>-------</v>
          </cell>
          <cell r="E32" t="str">
            <v>  ------</v>
          </cell>
          <cell r="F32" t="str">
            <v>-</v>
          </cell>
          <cell r="G32" t="str">
            <v>  -------</v>
          </cell>
          <cell r="H32" t="str">
            <v>  -------</v>
          </cell>
        </row>
        <row r="33">
          <cell r="A33" t="str">
            <v>   Annual Grasses</v>
          </cell>
          <cell r="D33" t="str">
            <v>kg or l</v>
          </cell>
          <cell r="E33">
            <v>1</v>
          </cell>
          <cell r="F33">
            <v>20</v>
          </cell>
          <cell r="G33">
            <v>20</v>
          </cell>
          <cell r="H33">
            <v>20</v>
          </cell>
          <cell r="K33">
            <v>13.05</v>
          </cell>
        </row>
        <row r="34">
          <cell r="A34" t="str">
            <v>   Broadleaf Herbicides</v>
          </cell>
          <cell r="D34" t="str">
            <v>kg or l</v>
          </cell>
          <cell r="E34">
            <v>0.3</v>
          </cell>
          <cell r="F34">
            <v>28</v>
          </cell>
          <cell r="G34">
            <v>8.4</v>
          </cell>
          <cell r="H34">
            <v>8.4</v>
          </cell>
          <cell r="K34">
            <v>13.058298442822156</v>
          </cell>
        </row>
        <row r="35">
          <cell r="A35" t="str">
            <v>   Other Herbicides</v>
          </cell>
          <cell r="D35" t="str">
            <v>kg or 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Insecticides</v>
          </cell>
          <cell r="D36" t="str">
            <v>kg or l</v>
          </cell>
          <cell r="E36">
            <v>2.8</v>
          </cell>
          <cell r="F36">
            <v>5.4</v>
          </cell>
          <cell r="G36">
            <v>15.12</v>
          </cell>
          <cell r="H36">
            <v>15.12</v>
          </cell>
        </row>
        <row r="37">
          <cell r="A37" t="str">
            <v> Fungicides</v>
          </cell>
          <cell r="D37" t="str">
            <v>kg or 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Crop Insurance</v>
          </cell>
          <cell r="D38" t="str">
            <v>Insurance</v>
          </cell>
          <cell r="E38">
            <v>1</v>
          </cell>
          <cell r="F38">
            <v>13.05</v>
          </cell>
          <cell r="G38">
            <v>13.05</v>
          </cell>
          <cell r="H38">
            <v>13.05</v>
          </cell>
        </row>
        <row r="39">
          <cell r="A39" t="str">
            <v> Market Revenue Insurance</v>
          </cell>
          <cell r="D39" t="str">
            <v>Insurance</v>
          </cell>
          <cell r="E39">
            <v>1</v>
          </cell>
          <cell r="F39">
            <v>0.008298442822155591</v>
          </cell>
          <cell r="G39">
            <v>0.008298442822155591</v>
          </cell>
          <cell r="H39">
            <v>0.008298442822155591</v>
          </cell>
        </row>
        <row r="40">
          <cell r="A40" t="str">
            <v> Custom Work  #1</v>
          </cell>
          <cell r="C40" t="str">
            <v>Silo fill        </v>
          </cell>
          <cell r="E40">
            <v>0</v>
          </cell>
          <cell r="F40">
            <v>42</v>
          </cell>
          <cell r="G40">
            <v>0</v>
          </cell>
          <cell r="H40">
            <v>0</v>
          </cell>
        </row>
        <row r="41">
          <cell r="A41" t="str">
            <v>              #2</v>
          </cell>
          <cell r="C41" t="str">
            <v>Apply Nitrogen</v>
          </cell>
          <cell r="E41">
            <v>0</v>
          </cell>
          <cell r="F41">
            <v>8</v>
          </cell>
          <cell r="G41">
            <v>0</v>
          </cell>
          <cell r="H41">
            <v>0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12.5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Marketing Fees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20</v>
          </cell>
          <cell r="E53" t="e">
            <v>#REF!</v>
          </cell>
          <cell r="G53" t="e">
            <v>#REF!</v>
          </cell>
          <cell r="H53" t="e">
            <v>#REF!</v>
          </cell>
          <cell r="K53" t="str">
            <v>Wfarm!L8</v>
          </cell>
        </row>
        <row r="54">
          <cell r="A54" t="str">
            <v> Mach. Repair &amp; Maint.</v>
          </cell>
          <cell r="D54">
            <v>20</v>
          </cell>
          <cell r="E54" t="e">
            <v>#REF!</v>
          </cell>
          <cell r="G54" t="e">
            <v>#REF!</v>
          </cell>
          <cell r="H54" t="e">
            <v>#REF!</v>
          </cell>
        </row>
        <row r="55">
          <cell r="A55" t="str">
            <v> Bldg. Repair &amp; Maint.</v>
          </cell>
          <cell r="D55">
            <v>8</v>
          </cell>
          <cell r="E55" t="e">
            <v>#REF!</v>
          </cell>
          <cell r="G55" t="e">
            <v>#REF!</v>
          </cell>
          <cell r="H55" t="e">
            <v>#REF!</v>
          </cell>
        </row>
        <row r="56">
          <cell r="A56" t="str">
            <v> Rent and Labour</v>
          </cell>
          <cell r="D56">
            <v>16</v>
          </cell>
          <cell r="E56" t="e">
            <v>#REF!</v>
          </cell>
          <cell r="G56" t="e">
            <v>#REF!</v>
          </cell>
          <cell r="H56" t="e">
            <v>#REF!</v>
          </cell>
        </row>
        <row r="57">
          <cell r="A57" t="str">
            <v> General Variable Costs</v>
          </cell>
          <cell r="D57">
            <v>15</v>
          </cell>
          <cell r="E57" t="e">
            <v>#REF!</v>
          </cell>
          <cell r="G57" t="e">
            <v>#REF!</v>
          </cell>
          <cell r="H57" t="e">
            <v>#REF!</v>
          </cell>
          <cell r="J57" t="e">
            <v>#REF!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40</v>
          </cell>
          <cell r="E59" t="e">
            <v>#REF!</v>
          </cell>
          <cell r="G59" t="e">
            <v>#REF!</v>
          </cell>
          <cell r="H59" t="e">
            <v>#REF!</v>
          </cell>
        </row>
        <row r="60">
          <cell r="G60" t="str">
            <v>  -------</v>
          </cell>
          <cell r="H60" t="str">
            <v>  -------</v>
          </cell>
        </row>
        <row r="61">
          <cell r="A61" t="str">
            <v>Total Variable Costs</v>
          </cell>
          <cell r="G61" t="e">
            <v>#REF!</v>
          </cell>
          <cell r="H61" t="e">
            <v>#REF!</v>
          </cell>
        </row>
        <row r="62">
          <cell r="D62" t="str">
            <v>Typical</v>
          </cell>
          <cell r="E62" t="str">
            <v> Enterprise</v>
          </cell>
        </row>
        <row r="63">
          <cell r="A63" t="str">
            <v>Fixed Costs:</v>
          </cell>
          <cell r="D63" t="str">
            <v> $/Acre</v>
          </cell>
          <cell r="E63" t="str">
            <v> $ Allocated</v>
          </cell>
          <cell r="G63" t="str">
            <v>$/Acre</v>
          </cell>
          <cell r="H63" t="str">
            <v>$/Year</v>
          </cell>
          <cell r="K63" t="str">
            <v>Wfarm!K4</v>
          </cell>
        </row>
        <row r="64">
          <cell r="A64" t="str">
            <v> Depreciation</v>
          </cell>
          <cell r="D64">
            <v>31</v>
          </cell>
          <cell r="E64" t="e">
            <v>#REF!</v>
          </cell>
          <cell r="G64" t="e">
            <v>#REF!</v>
          </cell>
          <cell r="H64" t="e">
            <v>#REF!</v>
          </cell>
          <cell r="K64" t="str">
            <v>Wfarm!K5</v>
          </cell>
        </row>
        <row r="65">
          <cell r="A65" t="str">
            <v> Interest on Term Loans</v>
          </cell>
          <cell r="D65">
            <v>19</v>
          </cell>
          <cell r="E65" t="e">
            <v>#REF!</v>
          </cell>
          <cell r="G65" t="e">
            <v>#REF!</v>
          </cell>
          <cell r="H65" t="e">
            <v>#REF!</v>
          </cell>
          <cell r="K65" t="str">
            <v>Wfarm!K6</v>
          </cell>
        </row>
        <row r="66">
          <cell r="A66" t="str">
            <v> Long-term Leases</v>
          </cell>
          <cell r="D66">
            <v>0</v>
          </cell>
          <cell r="E66" t="e">
            <v>#REF!</v>
          </cell>
          <cell r="G66" t="e">
            <v>#REF!</v>
          </cell>
          <cell r="H66" t="e">
            <v>#REF!</v>
          </cell>
          <cell r="K66" t="str">
            <v>Wfarm!K7</v>
          </cell>
        </row>
        <row r="67">
          <cell r="A67" t="str">
            <v> General Fixed Costs</v>
          </cell>
          <cell r="D67">
            <v>5.5</v>
          </cell>
          <cell r="E67" t="e">
            <v>#REF!</v>
          </cell>
          <cell r="G67" t="e">
            <v>#REF!</v>
          </cell>
          <cell r="H67" t="e">
            <v>#REF!</v>
          </cell>
        </row>
        <row r="68">
          <cell r="G68" t="str">
            <v>  -------</v>
          </cell>
          <cell r="H68" t="str">
            <v>  -------</v>
          </cell>
        </row>
        <row r="69">
          <cell r="A69" t="str">
            <v>Total Fixed Costs</v>
          </cell>
          <cell r="G69" t="e">
            <v>#REF!</v>
          </cell>
          <cell r="H69" t="e">
            <v>#REF!</v>
          </cell>
        </row>
        <row r="70">
          <cell r="A70" t="str">
            <v>=</v>
          </cell>
          <cell r="B70" t="str">
            <v>=</v>
          </cell>
          <cell r="C70" t="str">
            <v>=</v>
          </cell>
          <cell r="D70" t="str">
            <v>=</v>
          </cell>
          <cell r="E70" t="str">
            <v>=</v>
          </cell>
          <cell r="F70" t="str">
            <v>=</v>
          </cell>
          <cell r="G70" t="str">
            <v>=</v>
          </cell>
          <cell r="H70" t="str">
            <v>=</v>
          </cell>
        </row>
        <row r="71">
          <cell r="A71" t="str">
            <v>Revenues:</v>
          </cell>
          <cell r="E71" t="str">
            <v>$/Acre</v>
          </cell>
          <cell r="F71" t="str">
            <v>$/Year</v>
          </cell>
        </row>
        <row r="72">
          <cell r="A72" t="str">
            <v>Total Expected Revenues</v>
          </cell>
          <cell r="E72">
            <v>328.125</v>
          </cell>
          <cell r="F72">
            <v>328.125</v>
          </cell>
        </row>
        <row r="73">
          <cell r="A73" t="str">
            <v>    add: Expected Insurance Revenues</v>
          </cell>
          <cell r="E73">
            <v>7.090262562564263</v>
          </cell>
          <cell r="F73">
            <v>7.090262562564263</v>
          </cell>
        </row>
        <row r="74">
          <cell r="A74" t="str">
            <v>    less: Variable Costs</v>
          </cell>
          <cell r="E74" t="e">
            <v>#REF!</v>
          </cell>
          <cell r="F74" t="e">
            <v>#REF!</v>
          </cell>
        </row>
        <row r="75">
          <cell r="E75" t="str">
            <v>  -------</v>
          </cell>
          <cell r="F75" t="str">
            <v>  -------</v>
          </cell>
        </row>
        <row r="76">
          <cell r="A76" t="str">
            <v>Expected Operating Margin</v>
          </cell>
          <cell r="E76" t="e">
            <v>#REF!</v>
          </cell>
          <cell r="F76" t="e">
            <v>#REF!</v>
          </cell>
        </row>
        <row r="77">
          <cell r="A77" t="str">
            <v>    less: Fixed Costs</v>
          </cell>
          <cell r="E77" t="e">
            <v>#REF!</v>
          </cell>
          <cell r="F77" t="e">
            <v>#REF!</v>
          </cell>
        </row>
        <row r="78">
          <cell r="E78" t="str">
            <v>  -------</v>
          </cell>
          <cell r="F78" t="str">
            <v>  -------</v>
          </cell>
        </row>
        <row r="79">
          <cell r="A79" t="str">
            <v>Expected Net Revenue</v>
          </cell>
          <cell r="E79" t="e">
            <v>#REF!</v>
          </cell>
          <cell r="F79" t="e">
            <v>#REF!</v>
          </cell>
        </row>
        <row r="81">
          <cell r="A81" t="str">
            <v>      Break-even $/tonne to cover:</v>
          </cell>
          <cell r="E81" t="str">
            <v>Variable Costs</v>
          </cell>
          <cell r="G81" t="e">
            <v>#REF!</v>
          </cell>
        </row>
        <row r="82">
          <cell r="E82" t="str">
            <v>Fixed Costs</v>
          </cell>
          <cell r="G82" t="e">
            <v>#REF!</v>
          </cell>
        </row>
        <row r="83">
          <cell r="G83" t="str">
            <v>  -------</v>
          </cell>
        </row>
        <row r="84">
          <cell r="E84" t="str">
            <v>Total Costs</v>
          </cell>
          <cell r="G84" t="e">
            <v>#REF!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6">
          <cell r="B86" t="str">
            <v>Chance of at least breaking even          ==&gt;</v>
          </cell>
          <cell r="G86" t="e">
            <v>#REF!</v>
          </cell>
        </row>
        <row r="87">
          <cell r="B87" t="str">
            <v>Chance of at least</v>
          </cell>
          <cell r="D87">
            <v>0</v>
          </cell>
          <cell r="E87" t="str">
            <v>$/acre return  ==&gt;</v>
          </cell>
          <cell r="G87" t="e">
            <v>#REF!</v>
          </cell>
        </row>
        <row r="88">
          <cell r="B88" t="str">
            <v>Coefficient of variation                  ==&gt;</v>
          </cell>
          <cell r="G88">
            <v>0.30795776127009045</v>
          </cell>
        </row>
        <row r="89">
          <cell r="H89" t="str">
            <v>mn</v>
          </cell>
          <cell r="I89" t="e">
            <v>#REF!</v>
          </cell>
        </row>
        <row r="90">
          <cell r="C90" t="str">
            <v>Returns $/acre</v>
          </cell>
          <cell r="E90" t="str">
            <v>Chances of at least</v>
          </cell>
          <cell r="H90" t="str">
            <v>ystd</v>
          </cell>
          <cell r="I90">
            <v>3.796733</v>
          </cell>
        </row>
        <row r="91">
          <cell r="E91" t="str">
            <v>this return per acre</v>
          </cell>
          <cell r="H91" t="str">
            <v>pstd</v>
          </cell>
          <cell r="I91">
            <v>1.2759857499999994</v>
          </cell>
        </row>
        <row r="92">
          <cell r="H92" t="str">
            <v>nrstd</v>
          </cell>
          <cell r="I92">
            <v>101.04864041674843</v>
          </cell>
        </row>
        <row r="93">
          <cell r="C93" t="e">
            <v>#REF!</v>
          </cell>
          <cell r="E93" t="str">
            <v>       17 %</v>
          </cell>
        </row>
        <row r="94">
          <cell r="C94" t="e">
            <v>#REF!</v>
          </cell>
          <cell r="E94" t="str">
            <v>       33 %</v>
          </cell>
          <cell r="H94" t="str">
            <v>z</v>
          </cell>
          <cell r="I94" t="e">
            <v>#REF!</v>
          </cell>
          <cell r="J94" t="e">
            <v>#REF!</v>
          </cell>
        </row>
        <row r="95">
          <cell r="C95" t="e">
            <v>#REF!</v>
          </cell>
          <cell r="E95" t="str">
            <v>       50 %</v>
          </cell>
          <cell r="H95" t="str">
            <v>v1</v>
          </cell>
          <cell r="I95" t="e">
            <v>#REF!</v>
          </cell>
          <cell r="J95" t="e">
            <v>#REF!</v>
          </cell>
        </row>
        <row r="96">
          <cell r="C96" t="e">
            <v>#REF!</v>
          </cell>
          <cell r="E96" t="str">
            <v>       67 %</v>
          </cell>
          <cell r="H96" t="str">
            <v>v2</v>
          </cell>
          <cell r="I96" t="e">
            <v>#REF!</v>
          </cell>
          <cell r="J96" t="e">
            <v>#REF!</v>
          </cell>
        </row>
        <row r="97">
          <cell r="C97" t="e">
            <v>#REF!</v>
          </cell>
          <cell r="E97" t="str">
            <v>       83 %</v>
          </cell>
          <cell r="H97" t="str">
            <v>p(vx)</v>
          </cell>
          <cell r="I97" t="e">
            <v>#REF!</v>
          </cell>
          <cell r="J97" t="e">
            <v>#REF!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ALF"/>
    </sheetNames>
    <sheetDataSet>
      <sheetData sheetId="0">
        <row r="1">
          <cell r="A1" t="str">
            <v>Bcalf 1</v>
          </cell>
          <cell r="C1" t="str">
            <v>BEEF FEEDLOT BUDGET FOR CALVES</v>
          </cell>
          <cell r="G1" t="str">
            <v>Revised: May '98</v>
          </cell>
        </row>
        <row r="2">
          <cell r="A2">
            <v>102</v>
          </cell>
          <cell r="F2" t="str">
            <v>Profit Per Calf:</v>
          </cell>
          <cell r="H2">
            <v>-173.1044663194407</v>
          </cell>
        </row>
        <row r="4">
          <cell r="A4" t="str">
            <v>This is designed to analyse the purchase of one lot of beef calves. The </v>
          </cell>
        </row>
        <row r="5">
          <cell r="A5" t="str">
            <v>production period can be divided in up to three stages.  If only one </v>
          </cell>
        </row>
        <row r="6">
          <cell r="A6" t="str">
            <v>stage is used, record percent cattle sold at end of Stage 1 as being 100 </v>
          </cell>
        </row>
        <row r="7">
          <cell r="A7" t="str">
            <v>and adjust all entries under the Stage 1 column - ignore entries under </v>
          </cell>
        </row>
        <row r="8">
          <cell r="A8" t="str">
            <v>the columns for Stage 2 and Stage 3.</v>
          </cell>
        </row>
        <row r="11">
          <cell r="A11" t="str">
            <v>Number of Calves Purchased</v>
          </cell>
          <cell r="D11">
            <v>100</v>
          </cell>
          <cell r="E11" t="str">
            <v>head</v>
          </cell>
        </row>
        <row r="12">
          <cell r="A12" t="str">
            <v>Weight of Purchased Calve</v>
          </cell>
          <cell r="D12">
            <v>550</v>
          </cell>
          <cell r="E12" t="str">
            <v>lbs  (average)</v>
          </cell>
        </row>
        <row r="13">
          <cell r="A13" t="str">
            <v>Expected Purchase Price</v>
          </cell>
          <cell r="D13">
            <v>105</v>
          </cell>
          <cell r="E13" t="str">
            <v>cents/lb</v>
          </cell>
        </row>
        <row r="14">
          <cell r="K14">
            <v>0</v>
          </cell>
        </row>
        <row r="15">
          <cell r="A15" t="str">
            <v>Expected</v>
          </cell>
          <cell r="D15" t="str">
            <v>Stage 1</v>
          </cell>
          <cell r="F15" t="str">
            <v>Stage 2</v>
          </cell>
          <cell r="H15" t="str">
            <v>Stage 3</v>
          </cell>
          <cell r="K15">
            <v>100600.60621261907</v>
          </cell>
        </row>
        <row r="16">
          <cell r="A16" t="str">
            <v>-</v>
          </cell>
          <cell r="D16" t="str">
            <v>-</v>
          </cell>
          <cell r="F16" t="str">
            <v>-</v>
          </cell>
          <cell r="H16" t="str">
            <v>-</v>
          </cell>
          <cell r="K16">
            <v>5500</v>
          </cell>
        </row>
        <row r="17">
          <cell r="A17" t="str">
            <v>End of Stage Cattle Sold %</v>
          </cell>
          <cell r="D17">
            <v>33</v>
          </cell>
          <cell r="F17">
            <v>33</v>
          </cell>
          <cell r="H17">
            <v>34</v>
          </cell>
          <cell r="K17">
            <v>88790.159580675</v>
          </cell>
        </row>
        <row r="18">
          <cell r="A18" t="str">
            <v>End of Stage Weight - lbs</v>
          </cell>
          <cell r="D18">
            <v>750</v>
          </cell>
          <cell r="E18" t="str">
            <v> </v>
          </cell>
          <cell r="F18">
            <v>950</v>
          </cell>
          <cell r="H18">
            <v>1150</v>
          </cell>
          <cell r="K18">
            <v>4002.0686734328838</v>
          </cell>
        </row>
        <row r="19">
          <cell r="A19" t="str">
            <v>End of Stage Value - c/lb</v>
          </cell>
          <cell r="D19">
            <v>100</v>
          </cell>
          <cell r="F19">
            <v>95</v>
          </cell>
          <cell r="H19">
            <v>90</v>
          </cell>
        </row>
        <row r="20">
          <cell r="A20" t="str">
            <v>Death Loss  %</v>
          </cell>
          <cell r="D20">
            <v>2</v>
          </cell>
          <cell r="F20">
            <v>0.5</v>
          </cell>
          <cell r="H20">
            <v>0.5</v>
          </cell>
          <cell r="K20" t="str">
            <v>Tran!D3..G14</v>
          </cell>
        </row>
        <row r="21">
          <cell r="A21" t="str">
            <v>Average Daily Gain -lbs</v>
          </cell>
          <cell r="D21">
            <v>1.8</v>
          </cell>
          <cell r="F21">
            <v>2.2</v>
          </cell>
          <cell r="H21">
            <v>2.6</v>
          </cell>
          <cell r="K21" t="str">
            <v>Allo!C3..J14</v>
          </cell>
        </row>
        <row r="22">
          <cell r="A22" t="str">
            <v>% Crop Transfers by Stage</v>
          </cell>
          <cell r="D22">
            <v>34</v>
          </cell>
          <cell r="F22">
            <v>33</v>
          </cell>
          <cell r="H22">
            <v>33</v>
          </cell>
          <cell r="K22">
            <v>100</v>
          </cell>
        </row>
        <row r="23">
          <cell r="A23" t="str">
            <v>Length of Stage - days</v>
          </cell>
          <cell r="D23">
            <v>111.11111111111111</v>
          </cell>
          <cell r="F23">
            <v>90.9090909090909</v>
          </cell>
          <cell r="H23">
            <v>76.92307692307692</v>
          </cell>
          <cell r="K23">
            <v>57750</v>
          </cell>
        </row>
        <row r="24">
          <cell r="A24" t="str">
            <v>Beg. Stage Head of Cattle</v>
          </cell>
          <cell r="D24">
            <v>100</v>
          </cell>
          <cell r="F24">
            <v>65.66</v>
          </cell>
          <cell r="H24">
            <v>43.772239</v>
          </cell>
          <cell r="I24">
            <v>0.98</v>
          </cell>
          <cell r="K24">
            <v>21735.07937580938</v>
          </cell>
        </row>
        <row r="25">
          <cell r="K25">
            <v>2400</v>
          </cell>
        </row>
        <row r="26">
          <cell r="A26" t="str">
            <v>Risk Ratings for all Stages</v>
          </cell>
          <cell r="J26">
            <v>0.995</v>
          </cell>
          <cell r="K26">
            <v>3500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K27">
            <v>5000</v>
          </cell>
        </row>
        <row r="28">
          <cell r="A28" t="str">
            <v>2/3 chance of Death Loss  within + or -</v>
          </cell>
          <cell r="F28">
            <v>20</v>
          </cell>
          <cell r="G28" t="str">
            <v>%  of Expected</v>
          </cell>
          <cell r="J28">
            <v>0.995</v>
          </cell>
          <cell r="K28">
            <v>600</v>
          </cell>
        </row>
        <row r="29">
          <cell r="A29" t="str">
            <v>2/3 chance of Calf Prices  within + or -</v>
          </cell>
          <cell r="F29">
            <v>5</v>
          </cell>
          <cell r="G29" t="str">
            <v>%  of Expected</v>
          </cell>
        </row>
        <row r="30">
          <cell r="A30" t="str">
            <v>2/3 chance of Sale Price  within + or -</v>
          </cell>
          <cell r="F30">
            <v>5</v>
          </cell>
          <cell r="G30" t="str">
            <v>%  of Expected</v>
          </cell>
        </row>
        <row r="31">
          <cell r="A31" t="str">
            <v>2/3 chance of Avg. Daily Gain  within + or -</v>
          </cell>
          <cell r="F31">
            <v>10</v>
          </cell>
          <cell r="G31" t="str">
            <v>%  of Expected</v>
          </cell>
        </row>
        <row r="32">
          <cell r="A32" t="str">
            <v>EXPENSES</v>
          </cell>
        </row>
        <row r="33">
          <cell r="A33" t="str">
            <v> Variable Expenses:</v>
          </cell>
          <cell r="D33" t="str">
            <v> |---- lbs/day/hd ----</v>
          </cell>
          <cell r="F33" t="str">
            <v>------|</v>
          </cell>
          <cell r="G33" t="str">
            <v>Avg. Feed</v>
          </cell>
        </row>
        <row r="34">
          <cell r="C34" t="str">
            <v>$/Tonne</v>
          </cell>
          <cell r="D34" t="str">
            <v>Stage 1</v>
          </cell>
          <cell r="E34" t="str">
            <v>Stage 2</v>
          </cell>
          <cell r="F34" t="str">
            <v>Stage 3</v>
          </cell>
          <cell r="G34" t="str">
            <v>lbs/Hd</v>
          </cell>
          <cell r="H34" t="str">
            <v>$/Year</v>
          </cell>
        </row>
        <row r="35">
          <cell r="A35" t="str">
            <v>Purchased Feed:</v>
          </cell>
          <cell r="C35" t="str">
            <v> -------</v>
          </cell>
          <cell r="D35" t="str">
            <v> -------</v>
          </cell>
          <cell r="E35" t="str">
            <v> -------</v>
          </cell>
          <cell r="F35" t="str">
            <v> -------</v>
          </cell>
          <cell r="G35" t="str">
            <v> -------</v>
          </cell>
          <cell r="H35" t="str">
            <v> -------</v>
          </cell>
        </row>
        <row r="36">
          <cell r="A36" t="str">
            <v> Grain #1</v>
          </cell>
          <cell r="B36" t="str">
            <v>  Corn</v>
          </cell>
          <cell r="C36">
            <v>150</v>
          </cell>
          <cell r="D36">
            <v>2</v>
          </cell>
          <cell r="E36">
            <v>8</v>
          </cell>
          <cell r="F36">
            <v>17</v>
          </cell>
          <cell r="G36">
            <v>1272.1556972571873</v>
          </cell>
          <cell r="H36">
            <v>8654.120389504676</v>
          </cell>
        </row>
        <row r="37">
          <cell r="A37" t="str">
            <v>       #2</v>
          </cell>
          <cell r="B37" t="str">
            <v>  Barley</v>
          </cell>
          <cell r="C37">
            <v>135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      #3</v>
          </cell>
          <cell r="B38" t="str">
            <v>  Suppl.</v>
          </cell>
          <cell r="C38">
            <v>425</v>
          </cell>
          <cell r="D38">
            <v>1.5</v>
          </cell>
          <cell r="E38">
            <v>1.5</v>
          </cell>
          <cell r="F38">
            <v>1</v>
          </cell>
          <cell r="G38">
            <v>289.8739833799534</v>
          </cell>
          <cell r="H38">
            <v>5587.140269228126</v>
          </cell>
        </row>
        <row r="39">
          <cell r="A39" t="str">
            <v> Forage#1</v>
          </cell>
          <cell r="B39" t="str">
            <v>  Silage</v>
          </cell>
          <cell r="C39">
            <v>25</v>
          </cell>
          <cell r="D39">
            <v>36</v>
          </cell>
          <cell r="E39">
            <v>33</v>
          </cell>
          <cell r="F39">
            <v>19</v>
          </cell>
          <cell r="G39">
            <v>6609.5481084615385</v>
          </cell>
          <cell r="H39">
            <v>7493.818717076574</v>
          </cell>
        </row>
        <row r="40">
          <cell r="A40" t="str">
            <v>       #2</v>
          </cell>
          <cell r="B40" t="str">
            <v>  Haylage</v>
          </cell>
          <cell r="C40">
            <v>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       #3</v>
          </cell>
          <cell r="B41" t="str">
            <v>  Hay</v>
          </cell>
          <cell r="C41">
            <v>70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9259.25925925926</v>
          </cell>
          <cell r="J41">
            <v>7946.352272727272</v>
          </cell>
          <cell r="K41">
            <v>4529.4678438228475</v>
          </cell>
        </row>
        <row r="42">
          <cell r="A42" t="str">
            <v>  Other -</v>
          </cell>
          <cell r="B42" t="str">
            <v>  Mineral</v>
          </cell>
          <cell r="C42">
            <v>900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4">
          <cell r="A44" t="str">
            <v>Homegrown Feed:  (from transfer table)</v>
          </cell>
        </row>
        <row r="45">
          <cell r="A45" t="str">
            <v> Crop Transfers (based on </v>
          </cell>
          <cell r="D45">
            <v>100</v>
          </cell>
          <cell r="E45" t="str">
            <v>head)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51">
          <cell r="D51" t="str">
            <v> |------- lbs/day/hd ----|</v>
          </cell>
          <cell r="G51" t="str">
            <v>Tot. Feed</v>
          </cell>
        </row>
        <row r="52">
          <cell r="C52" t="str">
            <v>$/Tonne</v>
          </cell>
          <cell r="D52" t="str">
            <v>Stage 1</v>
          </cell>
          <cell r="E52" t="str">
            <v>Stage 2</v>
          </cell>
          <cell r="F52" t="str">
            <v>Stage 3</v>
          </cell>
          <cell r="G52" t="str">
            <v>lbs/Hd</v>
          </cell>
          <cell r="H52" t="str">
            <v>$/Year</v>
          </cell>
        </row>
        <row r="53">
          <cell r="B53" t="str">
            <v>*** (Input ONLY if NOT using Crop Transfer table) ***</v>
          </cell>
        </row>
        <row r="54">
          <cell r="A54" t="str">
            <v> Grain #1</v>
          </cell>
          <cell r="B54" t="str">
            <v>  Corn</v>
          </cell>
          <cell r="C54">
            <v>150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       #2</v>
          </cell>
          <cell r="B55" t="str">
            <v>  Barley</v>
          </cell>
          <cell r="C55">
            <v>135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       #3</v>
          </cell>
          <cell r="B56" t="str">
            <v>  Suppl.</v>
          </cell>
          <cell r="C56">
            <v>425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 Forage#1</v>
          </cell>
          <cell r="B57" t="str">
            <v>  Silage</v>
          </cell>
          <cell r="C57">
            <v>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       #2</v>
          </cell>
          <cell r="B58" t="str">
            <v>  Haylage</v>
          </cell>
          <cell r="C58">
            <v>35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      #3</v>
          </cell>
          <cell r="B59" t="str">
            <v>  Hay</v>
          </cell>
          <cell r="C59">
            <v>70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-</v>
          </cell>
          <cell r="D60" t="str">
            <v> -------</v>
          </cell>
          <cell r="E60" t="str">
            <v> -------</v>
          </cell>
          <cell r="F60" t="str">
            <v> -------</v>
          </cell>
          <cell r="G60" t="str">
            <v> -------</v>
          </cell>
          <cell r="H60" t="str">
            <v> -------</v>
          </cell>
        </row>
        <row r="61">
          <cell r="A61" t="str">
            <v>Total Feed Cost</v>
          </cell>
          <cell r="D61">
            <v>39.5</v>
          </cell>
          <cell r="E61">
            <v>42.5</v>
          </cell>
          <cell r="F61">
            <v>37</v>
          </cell>
          <cell r="G61">
            <v>8171.577789098679</v>
          </cell>
          <cell r="H61">
            <v>21735.07937580938</v>
          </cell>
        </row>
        <row r="63">
          <cell r="A63" t="str">
            <v>Number of Head to Base Following Variable Costs on ==&gt; **</v>
          </cell>
          <cell r="H63">
            <v>100</v>
          </cell>
        </row>
        <row r="64">
          <cell r="A64" t="str">
            <v>**(Enter the herd size used to determine the variable costs.)</v>
          </cell>
        </row>
        <row r="65">
          <cell r="E65" t="str">
            <v>Typical</v>
          </cell>
          <cell r="F65" t="str">
            <v>$/Year</v>
          </cell>
          <cell r="H65" t="str">
            <v>$/Year</v>
          </cell>
        </row>
        <row r="66">
          <cell r="E66" t="str">
            <v>$/Calf</v>
          </cell>
          <cell r="F66" t="str">
            <v>100 Calf</v>
          </cell>
          <cell r="G66" t="str">
            <v>$/Calf</v>
          </cell>
          <cell r="H66" t="str">
            <v> 100 Calf</v>
          </cell>
        </row>
        <row r="67">
          <cell r="A67" t="str">
            <v> Hired Labour</v>
          </cell>
          <cell r="E67">
            <v>6</v>
          </cell>
          <cell r="F67">
            <v>600</v>
          </cell>
          <cell r="G67">
            <v>6</v>
          </cell>
          <cell r="H67">
            <v>600</v>
          </cell>
        </row>
        <row r="68">
          <cell r="A68" t="str">
            <v> Insurance on Livestock</v>
          </cell>
          <cell r="E68">
            <v>4</v>
          </cell>
          <cell r="F68">
            <v>400</v>
          </cell>
          <cell r="G68">
            <v>4</v>
          </cell>
          <cell r="H68">
            <v>400</v>
          </cell>
        </row>
        <row r="69">
          <cell r="A69" t="str">
            <v> Vet, Medicine, Implants</v>
          </cell>
          <cell r="E69">
            <v>24</v>
          </cell>
          <cell r="F69">
            <v>2400</v>
          </cell>
          <cell r="G69">
            <v>24</v>
          </cell>
          <cell r="H69">
            <v>2400</v>
          </cell>
        </row>
        <row r="70">
          <cell r="A70" t="str">
            <v> Marketing Fees</v>
          </cell>
          <cell r="E70">
            <v>30</v>
          </cell>
          <cell r="F70">
            <v>3000</v>
          </cell>
          <cell r="G70">
            <v>30</v>
          </cell>
          <cell r="H70">
            <v>3000</v>
          </cell>
        </row>
        <row r="71">
          <cell r="A71" t="str">
            <v> Trucking</v>
          </cell>
          <cell r="E71">
            <v>20</v>
          </cell>
          <cell r="F71">
            <v>2000</v>
          </cell>
          <cell r="G71">
            <v>20</v>
          </cell>
          <cell r="H71">
            <v>2000</v>
          </cell>
        </row>
        <row r="72">
          <cell r="A72" t="str">
            <v> Stabilization Payment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 Bedding</v>
          </cell>
          <cell r="E73">
            <v>20</v>
          </cell>
          <cell r="F73">
            <v>2000</v>
          </cell>
          <cell r="G73">
            <v>20</v>
          </cell>
          <cell r="H73">
            <v>2000</v>
          </cell>
        </row>
        <row r="74">
          <cell r="A74" t="str">
            <v> Custom Work</v>
          </cell>
          <cell r="E74">
            <v>6</v>
          </cell>
          <cell r="F74">
            <v>600</v>
          </cell>
          <cell r="G74">
            <v>6</v>
          </cell>
          <cell r="H74">
            <v>600</v>
          </cell>
        </row>
        <row r="75">
          <cell r="A75" t="str">
            <v> Equipment Rentals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 Other</v>
          </cell>
          <cell r="E76">
            <v>5</v>
          </cell>
          <cell r="F76">
            <v>500</v>
          </cell>
          <cell r="G76">
            <v>5</v>
          </cell>
          <cell r="H76">
            <v>500</v>
          </cell>
        </row>
        <row r="77">
          <cell r="A77" t="str">
            <v> Expected Cost of Calves</v>
          </cell>
          <cell r="F77">
            <v>57750</v>
          </cell>
          <cell r="G77">
            <v>577.5</v>
          </cell>
          <cell r="H77">
            <v>57750</v>
          </cell>
        </row>
        <row r="79">
          <cell r="D79" t="str">
            <v>Typical</v>
          </cell>
          <cell r="E79" t="str">
            <v> Enterprise</v>
          </cell>
          <cell r="G79" t="str">
            <v> $/Calf</v>
          </cell>
          <cell r="H79" t="str">
            <v>$/Year</v>
          </cell>
          <cell r="K79" t="str">
            <v>Wfarm!L4</v>
          </cell>
        </row>
        <row r="80">
          <cell r="D80" t="str">
            <v> $/Calf</v>
          </cell>
          <cell r="E80" t="str">
            <v> $ Allocated</v>
          </cell>
          <cell r="G80" t="str">
            <v>Purchased</v>
          </cell>
          <cell r="H80" t="str">
            <v> 100 Calf</v>
          </cell>
          <cell r="K80" t="str">
            <v>Wfarm!L5</v>
          </cell>
        </row>
        <row r="81">
          <cell r="A81" t="str">
            <v> Fuel</v>
          </cell>
          <cell r="D81">
            <v>4.5</v>
          </cell>
          <cell r="E81">
            <v>0</v>
          </cell>
          <cell r="G81">
            <v>4.5</v>
          </cell>
          <cell r="H81">
            <v>450</v>
          </cell>
          <cell r="K81" t="str">
            <v>Wfarm!L6</v>
          </cell>
        </row>
        <row r="82">
          <cell r="A82" t="str">
            <v> Mach. Repair &amp; Maint.</v>
          </cell>
          <cell r="D82">
            <v>7.5</v>
          </cell>
          <cell r="E82">
            <v>0</v>
          </cell>
          <cell r="G82">
            <v>7.5</v>
          </cell>
          <cell r="H82">
            <v>750</v>
          </cell>
          <cell r="K82" t="str">
            <v>Wfarm!L7</v>
          </cell>
        </row>
        <row r="83">
          <cell r="A83" t="str">
            <v> Bldg. Repair &amp; Maint.</v>
          </cell>
          <cell r="D83">
            <v>12</v>
          </cell>
          <cell r="E83">
            <v>0</v>
          </cell>
          <cell r="G83">
            <v>12</v>
          </cell>
          <cell r="H83">
            <v>1200</v>
          </cell>
          <cell r="K83" t="str">
            <v>Wfarm!L8</v>
          </cell>
        </row>
        <row r="84">
          <cell r="A84" t="str">
            <v> Rent and Labour</v>
          </cell>
          <cell r="D84">
            <v>3</v>
          </cell>
          <cell r="E84">
            <v>0</v>
          </cell>
          <cell r="G84">
            <v>3</v>
          </cell>
          <cell r="H84">
            <v>300</v>
          </cell>
          <cell r="I84">
            <v>20447.29732789433</v>
          </cell>
        </row>
        <row r="85">
          <cell r="A85" t="str">
            <v> General Variable Costs</v>
          </cell>
          <cell r="D85">
            <v>7.5</v>
          </cell>
          <cell r="E85">
            <v>0</v>
          </cell>
          <cell r="G85">
            <v>7.5</v>
          </cell>
          <cell r="H85">
            <v>750</v>
          </cell>
          <cell r="I85">
            <v>2588.1236617773097</v>
          </cell>
        </row>
        <row r="86">
          <cell r="I86">
            <v>3577.403175032375</v>
          </cell>
          <cell r="K86" t="str">
            <v>Wfarm!L9</v>
          </cell>
        </row>
        <row r="87">
          <cell r="A87" t="str">
            <v> Interest on </v>
          </cell>
          <cell r="D87" t="str">
            <v>% int</v>
          </cell>
        </row>
        <row r="88">
          <cell r="A88" t="str">
            <v> Operating Capital</v>
          </cell>
          <cell r="D88">
            <v>8</v>
          </cell>
          <cell r="E88">
            <v>0</v>
          </cell>
          <cell r="G88">
            <v>61.65526836809685</v>
          </cell>
          <cell r="H88">
            <v>6165.526836809685</v>
          </cell>
          <cell r="I88">
            <v>2588.1236617773093</v>
          </cell>
        </row>
        <row r="89">
          <cell r="G89" t="str">
            <v>  ------</v>
          </cell>
          <cell r="H89" t="str">
            <v>  ------</v>
          </cell>
        </row>
        <row r="90">
          <cell r="A90" t="str">
            <v>Total Variable Costs</v>
          </cell>
          <cell r="G90">
            <v>1006.0060621261906</v>
          </cell>
          <cell r="H90">
            <v>100600.60621261907</v>
          </cell>
        </row>
        <row r="92">
          <cell r="D92" t="str">
            <v>Typical</v>
          </cell>
          <cell r="E92" t="str">
            <v> Enterprise</v>
          </cell>
          <cell r="G92" t="str">
            <v> $/Calf</v>
          </cell>
          <cell r="H92" t="str">
            <v>$/Year</v>
          </cell>
          <cell r="K92" t="str">
            <v>Wfarm!K4</v>
          </cell>
        </row>
        <row r="93">
          <cell r="A93" t="str">
            <v>Fixed Costs:</v>
          </cell>
          <cell r="D93" t="str">
            <v> $/Calf</v>
          </cell>
          <cell r="E93" t="str">
            <v> $ Allocated</v>
          </cell>
          <cell r="G93" t="str">
            <v>Purchased</v>
          </cell>
          <cell r="H93" t="str">
            <v> 100 Calf</v>
          </cell>
          <cell r="K93" t="str">
            <v>Wfarm!K5</v>
          </cell>
        </row>
        <row r="94">
          <cell r="A94" t="str">
            <v> Depreciation</v>
          </cell>
          <cell r="D94">
            <v>35</v>
          </cell>
          <cell r="E94">
            <v>0</v>
          </cell>
          <cell r="G94">
            <v>35</v>
          </cell>
          <cell r="H94">
            <v>3500</v>
          </cell>
          <cell r="K94" t="str">
            <v>Wfarm!K6</v>
          </cell>
        </row>
        <row r="95">
          <cell r="A95" t="str">
            <v> Interest on Term Loans</v>
          </cell>
          <cell r="D95">
            <v>10</v>
          </cell>
          <cell r="E95">
            <v>0</v>
          </cell>
          <cell r="G95">
            <v>10</v>
          </cell>
          <cell r="H95">
            <v>1000</v>
          </cell>
          <cell r="K95" t="str">
            <v>Wfarm!K7</v>
          </cell>
        </row>
        <row r="96">
          <cell r="A96" t="str">
            <v> Long-term Leases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</row>
        <row r="97">
          <cell r="A97" t="str">
            <v> General Fixed Costs</v>
          </cell>
          <cell r="D97">
            <v>10</v>
          </cell>
          <cell r="E97">
            <v>0</v>
          </cell>
          <cell r="G97">
            <v>10</v>
          </cell>
          <cell r="H97">
            <v>1000</v>
          </cell>
        </row>
        <row r="98">
          <cell r="G98" t="str">
            <v>  ------</v>
          </cell>
          <cell r="H98" t="str">
            <v>  ------</v>
          </cell>
        </row>
        <row r="99">
          <cell r="A99" t="str">
            <v>Total Fixed Costs</v>
          </cell>
          <cell r="G99">
            <v>55</v>
          </cell>
          <cell r="H99">
            <v>5500</v>
          </cell>
        </row>
        <row r="102">
          <cell r="A102" t="str">
            <v>Revenues:</v>
          </cell>
          <cell r="E102" t="str">
            <v>$/Calf</v>
          </cell>
          <cell r="F102" t="str">
            <v>$/Year</v>
          </cell>
        </row>
        <row r="103">
          <cell r="A103" t="str">
            <v>Total Expected Revenues</v>
          </cell>
          <cell r="E103">
            <v>887.9015958067499</v>
          </cell>
          <cell r="F103">
            <v>88790.159580675</v>
          </cell>
        </row>
        <row r="104">
          <cell r="A104" t="str">
            <v>    less: Variable Costs</v>
          </cell>
          <cell r="E104">
            <v>1006.0060621261906</v>
          </cell>
          <cell r="F104">
            <v>100600.60621261907</v>
          </cell>
        </row>
        <row r="105">
          <cell r="E105" t="str">
            <v>  ------</v>
          </cell>
          <cell r="F105" t="str">
            <v>  ------</v>
          </cell>
        </row>
        <row r="106">
          <cell r="A106" t="str">
            <v>Expected Operating Margin</v>
          </cell>
          <cell r="E106">
            <v>-118.10446631944069</v>
          </cell>
          <cell r="F106">
            <v>-11810.446631944069</v>
          </cell>
        </row>
        <row r="107">
          <cell r="A107" t="str">
            <v>    less: Fixed Costs</v>
          </cell>
          <cell r="E107">
            <v>55</v>
          </cell>
          <cell r="F107">
            <v>5500</v>
          </cell>
        </row>
        <row r="108">
          <cell r="E108" t="str">
            <v>  ------</v>
          </cell>
          <cell r="F108" t="str">
            <v>  ------</v>
          </cell>
        </row>
        <row r="109">
          <cell r="A109" t="str">
            <v>Expected Net Revenue</v>
          </cell>
          <cell r="E109">
            <v>-173.1044663194407</v>
          </cell>
          <cell r="F109">
            <v>-17310.44663194407</v>
          </cell>
        </row>
        <row r="112">
          <cell r="A112" t="str">
            <v>Break-even cents/lb</v>
          </cell>
          <cell r="D112" t="str">
            <v>Needed to Cover:</v>
          </cell>
          <cell r="F112" t="str">
            <v> Variable</v>
          </cell>
          <cell r="G112" t="str">
            <v>Total</v>
          </cell>
        </row>
        <row r="113">
          <cell r="F113" t="str">
            <v>Costs</v>
          </cell>
          <cell r="G113" t="str">
            <v>Costs</v>
          </cell>
        </row>
        <row r="114">
          <cell r="D114" t="str">
            <v>     End Stage 1</v>
          </cell>
          <cell r="F114">
            <v>110.06398891837932</v>
          </cell>
          <cell r="G114">
            <v>117.54698211565824</v>
          </cell>
        </row>
        <row r="115">
          <cell r="D115" t="str">
            <v>     End Stage 2</v>
          </cell>
          <cell r="F115">
            <v>106.95995402258903</v>
          </cell>
          <cell r="G115">
            <v>112.89726679482831</v>
          </cell>
        </row>
        <row r="116">
          <cell r="D116" t="str">
            <v>     End Stage 3</v>
          </cell>
          <cell r="F116">
            <v>102.6178993432614</v>
          </cell>
          <cell r="G116">
            <v>107.54728289897677</v>
          </cell>
        </row>
        <row r="119">
          <cell r="B119" t="str">
            <v>Chance of at least breaking even       ==&gt;</v>
          </cell>
          <cell r="G119">
            <v>7.619276739489133E-06</v>
          </cell>
          <cell r="H119" t="str">
            <v>tr1</v>
          </cell>
          <cell r="I119">
            <v>24254.999999999996</v>
          </cell>
          <cell r="J119" t="str">
            <v>sumother</v>
          </cell>
          <cell r="K119">
            <v>14515.526836809684</v>
          </cell>
        </row>
        <row r="120">
          <cell r="B120" t="str">
            <v>Chance of at least</v>
          </cell>
          <cell r="D120">
            <v>0</v>
          </cell>
          <cell r="E120" t="str">
            <v>$/hd return ==&gt;</v>
          </cell>
          <cell r="G120">
            <v>7.619276739489133E-06</v>
          </cell>
          <cell r="H120" t="str">
            <v>tr2</v>
          </cell>
          <cell r="I120">
            <v>19457.4135525</v>
          </cell>
          <cell r="J120" t="str">
            <v>vcost1</v>
          </cell>
          <cell r="K120">
            <v>80897.0318550088</v>
          </cell>
        </row>
        <row r="121">
          <cell r="B121" t="str">
            <v>Coefficient of variation               ==&gt;</v>
          </cell>
          <cell r="G121">
            <v>0.045073335742758666</v>
          </cell>
          <cell r="H121" t="str">
            <v>tr3</v>
          </cell>
          <cell r="I121">
            <v>45077.746028175</v>
          </cell>
          <cell r="J121" t="str">
            <v>vcost2</v>
          </cell>
          <cell r="K121">
            <v>12183.807125211119</v>
          </cell>
        </row>
        <row r="122">
          <cell r="H122" t="str">
            <v>dlvar1</v>
          </cell>
          <cell r="I122">
            <v>131340.14891064947</v>
          </cell>
          <cell r="J122" t="str">
            <v>vcost3</v>
          </cell>
          <cell r="K122">
            <v>6919.767232399148</v>
          </cell>
        </row>
        <row r="123">
          <cell r="C123" t="str">
            <v>Returns: $ per</v>
          </cell>
          <cell r="E123" t="str">
            <v>Chances of at least</v>
          </cell>
          <cell r="H123" t="str">
            <v>dlvar2</v>
          </cell>
          <cell r="I123">
            <v>4206.749144822796</v>
          </cell>
        </row>
        <row r="124">
          <cell r="C124" t="str">
            <v>calf purchased</v>
          </cell>
          <cell r="E124" t="str">
            <v>this return per head</v>
          </cell>
          <cell r="H124" t="str">
            <v>dlvar3</v>
          </cell>
          <cell r="I124">
            <v>2052.476641479405</v>
          </cell>
        </row>
        <row r="125">
          <cell r="H125" t="str">
            <v>catpurvar</v>
          </cell>
          <cell r="I125">
            <v>8354402.21022163</v>
          </cell>
        </row>
        <row r="126">
          <cell r="C126">
            <v>-134.28440018714173</v>
          </cell>
          <cell r="E126" t="str">
            <v>       17 %</v>
          </cell>
          <cell r="H126" t="str">
            <v>pricevar</v>
          </cell>
          <cell r="I126">
            <v>7497247.885334143</v>
          </cell>
        </row>
        <row r="127">
          <cell r="C127">
            <v>-155.89557102367928</v>
          </cell>
          <cell r="E127" t="str">
            <v>       33 %</v>
          </cell>
          <cell r="H127" t="str">
            <v>dofvar</v>
          </cell>
          <cell r="I127">
            <v>27304.19662011787</v>
          </cell>
        </row>
        <row r="128">
          <cell r="C128">
            <v>-173.1044663194407</v>
          </cell>
          <cell r="E128" t="str">
            <v>       50 %</v>
          </cell>
          <cell r="H128" t="str">
            <v>sumstd</v>
          </cell>
          <cell r="I128">
            <v>4002.0686734328838</v>
          </cell>
          <cell r="J128" t="str">
            <v>$/Hd</v>
          </cell>
          <cell r="K128">
            <v>-173.1044663194407</v>
          </cell>
        </row>
        <row r="129">
          <cell r="C129">
            <v>-190.3133616152021</v>
          </cell>
          <cell r="E129" t="str">
            <v>       67 %</v>
          </cell>
          <cell r="H129" t="str">
            <v>hdstd</v>
          </cell>
          <cell r="I129">
            <v>40.02068673432884</v>
          </cell>
          <cell r="J129" t="str">
            <v>BEcatpur</v>
          </cell>
          <cell r="K129">
            <v>86.19731951682472</v>
          </cell>
        </row>
        <row r="130">
          <cell r="C130">
            <v>-211.92453245173965</v>
          </cell>
          <cell r="E130" t="str">
            <v>       83 %</v>
          </cell>
        </row>
        <row r="131">
          <cell r="I131" t="str">
            <v>   b.e.</v>
          </cell>
          <cell r="J131" t="str">
            <v> +profit</v>
          </cell>
          <cell r="K131" t="str">
            <v> ¬ price</v>
          </cell>
        </row>
        <row r="132">
          <cell r="B132" t="str">
            <v>Given costs and revenues as inputted above,</v>
          </cell>
          <cell r="H132" t="str">
            <v>z</v>
          </cell>
          <cell r="I132">
            <v>4.325374711048013</v>
          </cell>
          <cell r="J132">
            <v>4.325374711048013</v>
          </cell>
          <cell r="K132">
            <v>2.1715556102156786</v>
          </cell>
        </row>
        <row r="133">
          <cell r="B133" t="str">
            <v>but with feeder calves purchased at</v>
          </cell>
          <cell r="F133">
            <v>90</v>
          </cell>
          <cell r="G133" t="str">
            <v>cents/lb</v>
          </cell>
          <cell r="H133" t="str">
            <v>v1</v>
          </cell>
          <cell r="I133">
            <v>0.4995159649641113</v>
          </cell>
          <cell r="J133">
            <v>0.4995159649641113</v>
          </cell>
          <cell r="K133">
            <v>0.6653256949636644</v>
          </cell>
        </row>
        <row r="134">
          <cell r="B134" t="str">
            <v>then the expected return per head is</v>
          </cell>
          <cell r="F134">
            <v>-86.90714680261597</v>
          </cell>
          <cell r="G134" t="str">
            <v>$/hd</v>
          </cell>
          <cell r="H134" t="str">
            <v>v2</v>
          </cell>
          <cell r="I134">
            <v>3.454071699064793E-05</v>
          </cell>
          <cell r="J134">
            <v>3.454071699064793E-05</v>
          </cell>
          <cell r="K134">
            <v>0.03775016562672248</v>
          </cell>
        </row>
        <row r="135">
          <cell r="B135" t="str">
            <v>Chance of at least breaking even is</v>
          </cell>
          <cell r="F135">
            <v>1.4944545778573826</v>
          </cell>
          <cell r="G135" t="str">
            <v>%</v>
          </cell>
          <cell r="H135" t="str">
            <v>p(vx)</v>
          </cell>
          <cell r="I135">
            <v>7.619276739489133E-06</v>
          </cell>
          <cell r="J135">
            <v>7.619276739489133E-06</v>
          </cell>
          <cell r="K135">
            <v>0.014944545778573825</v>
          </cell>
        </row>
        <row r="136">
          <cell r="H13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N"/>
    </sheetNames>
    <sheetDataSet>
      <sheetData sheetId="0">
        <row r="1">
          <cell r="A1" t="str">
            <v>Corn 1</v>
          </cell>
          <cell r="C1" t="str">
            <v>GRAIN CORN ENTERPRISE BUDGET</v>
          </cell>
          <cell r="G1" t="str">
            <v>Revised: May '98</v>
          </cell>
        </row>
        <row r="2">
          <cell r="A2">
            <v>502</v>
          </cell>
          <cell r="F2" t="str">
            <v>Profit Per Acre</v>
          </cell>
          <cell r="H2">
            <v>118.68321594062348</v>
          </cell>
        </row>
        <row r="3">
          <cell r="B3" t="str">
            <v>Number of Acres =</v>
          </cell>
          <cell r="D3">
            <v>1</v>
          </cell>
          <cell r="F3" t="str">
            <v>    1 t =</v>
          </cell>
          <cell r="G3">
            <v>39.368</v>
          </cell>
          <cell r="H3" t="str">
            <v>bu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bu/ac</v>
          </cell>
          <cell r="C7">
            <v>150</v>
          </cell>
          <cell r="E7">
            <v>130</v>
          </cell>
          <cell r="G7">
            <v>90</v>
          </cell>
        </row>
        <row r="8">
          <cell r="A8" t="str">
            <v>Price - $/bu</v>
          </cell>
          <cell r="C8">
            <v>4.22</v>
          </cell>
          <cell r="E8">
            <v>3.44</v>
          </cell>
          <cell r="G8">
            <v>2.67</v>
          </cell>
        </row>
        <row r="9">
          <cell r="A9" t="str">
            <v>Production - bu</v>
          </cell>
          <cell r="C9">
            <v>150</v>
          </cell>
          <cell r="E9">
            <v>130</v>
          </cell>
          <cell r="G9">
            <v>90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13.349808004532308</v>
          </cell>
          <cell r="E13" t="str">
            <v>   C.I. Premium/ac:</v>
          </cell>
          <cell r="H13">
            <v>13.05</v>
          </cell>
          <cell r="K13">
            <v>40.453963650097904</v>
          </cell>
        </row>
        <row r="14">
          <cell r="A14" t="str">
            <v> Guaranteed Price/bu</v>
          </cell>
          <cell r="D14">
            <v>3.444</v>
          </cell>
          <cell r="E14" t="str">
            <v>   Level of Coverage</v>
          </cell>
          <cell r="H14">
            <v>0.85</v>
          </cell>
          <cell r="K14">
            <v>56.488294452697446</v>
          </cell>
        </row>
        <row r="15">
          <cell r="A15" t="str">
            <v> Probability of a payout</v>
          </cell>
          <cell r="D15">
            <v>0.5020466363275756</v>
          </cell>
          <cell r="E15" t="str">
            <v>   Guaranteed Yield/ac.</v>
          </cell>
          <cell r="H15">
            <v>110.5</v>
          </cell>
          <cell r="K15">
            <v>333.50507851207396</v>
          </cell>
        </row>
        <row r="16">
          <cell r="A16" t="str">
            <v> Expected Payout/ac</v>
          </cell>
          <cell r="D16">
            <v>40.453963650097904</v>
          </cell>
          <cell r="E16" t="str">
            <v>   Probability of a payout</v>
          </cell>
          <cell r="H16">
            <v>0.2578475956340074</v>
          </cell>
          <cell r="K16">
            <v>51.5</v>
          </cell>
        </row>
        <row r="17">
          <cell r="D17">
            <v>0.5020466363275756</v>
          </cell>
          <cell r="E17" t="str">
            <v>   Expected Payout/ac</v>
          </cell>
          <cell r="H17">
            <v>16.034330802599538</v>
          </cell>
          <cell r="K17">
            <v>447.2</v>
          </cell>
        </row>
        <row r="18">
          <cell r="H18">
            <v>0.2578475956340074</v>
          </cell>
          <cell r="K18">
            <v>169.2198943451123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3.3021743548059335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135.42592000000002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---------</v>
          </cell>
          <cell r="G22" t="str">
            <v>  ------</v>
          </cell>
          <cell r="H22" t="str">
            <v>  ------</v>
          </cell>
          <cell r="K22">
            <v>1</v>
          </cell>
        </row>
        <row r="23">
          <cell r="A23" t="str">
            <v>Variable Costs:</v>
          </cell>
          <cell r="K23">
            <v>47.1</v>
          </cell>
        </row>
        <row r="24">
          <cell r="A24" t="str">
            <v> Seed </v>
          </cell>
          <cell r="D24" t="str">
            <v>M-kernel</v>
          </cell>
          <cell r="E24">
            <v>30</v>
          </cell>
          <cell r="F24">
            <v>1.57</v>
          </cell>
          <cell r="G24">
            <v>47.1</v>
          </cell>
          <cell r="H24">
            <v>47.1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A26" t="str">
            <v> Fertilizer   #1</v>
          </cell>
          <cell r="C26" t="str">
            <v>11-52-0</v>
          </cell>
          <cell r="D26" t="str">
            <v>kg</v>
          </cell>
          <cell r="E26">
            <v>28</v>
          </cell>
          <cell r="F26">
            <v>0.448</v>
          </cell>
          <cell r="G26">
            <v>12.544</v>
          </cell>
          <cell r="H26">
            <v>12.544</v>
          </cell>
          <cell r="K26">
            <v>90.40915569809052</v>
          </cell>
        </row>
        <row r="27">
          <cell r="A27" t="str">
            <v>              #2</v>
          </cell>
          <cell r="C27" t="str">
            <v>0-0-60</v>
          </cell>
          <cell r="D27" t="str">
            <v>kg</v>
          </cell>
          <cell r="E27">
            <v>32</v>
          </cell>
          <cell r="F27">
            <v>0.24</v>
          </cell>
          <cell r="G27">
            <v>7.68</v>
          </cell>
          <cell r="H27">
            <v>7.68</v>
          </cell>
          <cell r="K27">
            <v>1.3208697419223734</v>
          </cell>
        </row>
        <row r="28">
          <cell r="A28" t="str">
            <v>              #3</v>
          </cell>
          <cell r="C28" t="str">
            <v>28-0-0</v>
          </cell>
          <cell r="D28" t="str">
            <v>kg</v>
          </cell>
          <cell r="E28">
            <v>202</v>
          </cell>
          <cell r="F28">
            <v>0.225</v>
          </cell>
          <cell r="G28">
            <v>45.45</v>
          </cell>
          <cell r="H28">
            <v>45.45</v>
          </cell>
          <cell r="K28">
            <v>0</v>
          </cell>
        </row>
        <row r="30">
          <cell r="D30" t="str">
            <v>Unit/Acre</v>
          </cell>
          <cell r="E30" t="str">
            <v>Number</v>
          </cell>
          <cell r="F30" t="str">
            <v>Cost/Unit</v>
          </cell>
          <cell r="G30" t="str">
            <v>$/Acre</v>
          </cell>
          <cell r="H30" t="str">
            <v>$/Year</v>
          </cell>
          <cell r="J30" t="str">
            <v>Grip prob factor (component of grip)</v>
          </cell>
          <cell r="K30">
            <v>0.9982829935483871</v>
          </cell>
        </row>
        <row r="31">
          <cell r="A31" t="str">
            <v> Herbicide </v>
          </cell>
          <cell r="D31" t="str">
            <v>-------</v>
          </cell>
          <cell r="E31" t="str">
            <v>  ------</v>
          </cell>
          <cell r="F31" t="str">
            <v>---------</v>
          </cell>
          <cell r="G31" t="str">
            <v>  ------</v>
          </cell>
          <cell r="H31" t="str">
            <v>  ------</v>
          </cell>
        </row>
        <row r="32">
          <cell r="A32" t="str">
            <v>   Annual Grasses</v>
          </cell>
          <cell r="D32" t="str">
            <v>kg or l</v>
          </cell>
          <cell r="E32">
            <v>1</v>
          </cell>
          <cell r="F32">
            <v>20</v>
          </cell>
          <cell r="G32">
            <v>20</v>
          </cell>
          <cell r="H32">
            <v>20</v>
          </cell>
          <cell r="J32" t="str">
            <v>C.I. prob factor (component of Crop Insurance)</v>
          </cell>
          <cell r="K32">
            <v>1.2162355</v>
          </cell>
        </row>
        <row r="33">
          <cell r="A33" t="str">
            <v>   Broadleaf Herbicides</v>
          </cell>
          <cell r="D33" t="str">
            <v>kg or l</v>
          </cell>
          <cell r="E33">
            <v>0.3</v>
          </cell>
          <cell r="F33">
            <v>28</v>
          </cell>
          <cell r="G33">
            <v>8.4</v>
          </cell>
          <cell r="H33">
            <v>8.4</v>
          </cell>
          <cell r="K33">
            <v>13.05</v>
          </cell>
        </row>
        <row r="34">
          <cell r="A34" t="str">
            <v>   Other Herbicides</v>
          </cell>
          <cell r="D34" t="str">
            <v>kg or 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>
            <v>26.39980800453231</v>
          </cell>
        </row>
        <row r="35">
          <cell r="A35" t="str">
            <v> Insecticides</v>
          </cell>
          <cell r="D35" t="str">
            <v>kg or l</v>
          </cell>
          <cell r="E35">
            <v>2.8</v>
          </cell>
          <cell r="F35">
            <v>5.4</v>
          </cell>
          <cell r="G35">
            <v>15.12</v>
          </cell>
          <cell r="H35">
            <v>15.12</v>
          </cell>
        </row>
        <row r="36">
          <cell r="A36" t="str">
            <v> Fungicides</v>
          </cell>
          <cell r="D36" t="str">
            <v>kg or 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 Crop Insurance</v>
          </cell>
          <cell r="D37" t="str">
            <v>Insurance</v>
          </cell>
          <cell r="E37">
            <v>1</v>
          </cell>
          <cell r="F37">
            <v>13.05</v>
          </cell>
          <cell r="G37">
            <v>13.05</v>
          </cell>
          <cell r="H37">
            <v>13.05</v>
          </cell>
        </row>
        <row r="38">
          <cell r="A38" t="str">
            <v> Market Revenue Insurance</v>
          </cell>
          <cell r="D38" t="str">
            <v>Insurance</v>
          </cell>
          <cell r="E38">
            <v>1</v>
          </cell>
          <cell r="F38">
            <v>13.349808004532308</v>
          </cell>
          <cell r="G38">
            <v>13.349808004532308</v>
          </cell>
          <cell r="H38">
            <v>13.349808004532308</v>
          </cell>
        </row>
        <row r="39">
          <cell r="A39" t="str">
            <v> Custom Work  #1</v>
          </cell>
          <cell r="C39" t="str">
            <v>     Combine</v>
          </cell>
          <cell r="E39">
            <v>0</v>
          </cell>
          <cell r="F39">
            <v>31</v>
          </cell>
          <cell r="G39">
            <v>0</v>
          </cell>
          <cell r="H39">
            <v>0</v>
          </cell>
        </row>
        <row r="40">
          <cell r="A40" t="str">
            <v>              #2</v>
          </cell>
          <cell r="C40" t="str">
            <v>     Nitr. Applic.</v>
          </cell>
          <cell r="E40">
            <v>0</v>
          </cell>
          <cell r="F40">
            <v>8</v>
          </cell>
          <cell r="G40">
            <v>0</v>
          </cell>
          <cell r="H40">
            <v>0</v>
          </cell>
        </row>
        <row r="41">
          <cell r="A41" t="str">
            <v> Drying 8 Points</v>
          </cell>
          <cell r="D41" t="str">
            <v>tonnes</v>
          </cell>
          <cell r="E41">
            <v>3.632391790286527</v>
          </cell>
          <cell r="F41">
            <v>11.84</v>
          </cell>
          <cell r="G41">
            <v>43.00751879699248</v>
          </cell>
          <cell r="H41">
            <v>43.00751879699248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3.3021743548059335</v>
          </cell>
          <cell r="F43">
            <v>6.36</v>
          </cell>
          <cell r="G43">
            <v>21.001828896565737</v>
          </cell>
          <cell r="H43">
            <v>21.001828896565737</v>
          </cell>
        </row>
        <row r="44">
          <cell r="A44" t="str">
            <v> Marketing Fees</v>
          </cell>
          <cell r="D44" t="str">
            <v>tonnes</v>
          </cell>
          <cell r="E44">
            <v>3.3021743548059335</v>
          </cell>
          <cell r="F44">
            <v>0.4</v>
          </cell>
          <cell r="G44">
            <v>1.3208697419223734</v>
          </cell>
          <cell r="H44">
            <v>1.3208697419223734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14</v>
          </cell>
          <cell r="E53">
            <v>0</v>
          </cell>
          <cell r="G53">
            <v>14</v>
          </cell>
          <cell r="H53">
            <v>14</v>
          </cell>
          <cell r="K53" t="str">
            <v>Wfarm!L8</v>
          </cell>
        </row>
        <row r="54">
          <cell r="A54" t="str">
            <v> Mach. Repair &amp; Maint.</v>
          </cell>
          <cell r="D54">
            <v>19</v>
          </cell>
          <cell r="E54">
            <v>0</v>
          </cell>
          <cell r="G54">
            <v>19</v>
          </cell>
          <cell r="H54">
            <v>19</v>
          </cell>
        </row>
        <row r="55">
          <cell r="A55" t="str">
            <v> Bldg. Repair &amp; Maint.</v>
          </cell>
          <cell r="D55">
            <v>8</v>
          </cell>
          <cell r="E55">
            <v>0</v>
          </cell>
          <cell r="G55">
            <v>8</v>
          </cell>
          <cell r="H55">
            <v>8</v>
          </cell>
        </row>
        <row r="56">
          <cell r="A56" t="str">
            <v> Rent and Labour</v>
          </cell>
          <cell r="D56">
            <v>16</v>
          </cell>
          <cell r="E56">
            <v>0</v>
          </cell>
          <cell r="G56">
            <v>16</v>
          </cell>
          <cell r="H56">
            <v>16</v>
          </cell>
        </row>
        <row r="57">
          <cell r="A57" t="str">
            <v> General Variable Costs</v>
          </cell>
          <cell r="D57">
            <v>15</v>
          </cell>
          <cell r="E57">
            <v>0</v>
          </cell>
          <cell r="G57">
            <v>15</v>
          </cell>
          <cell r="H57">
            <v>15</v>
          </cell>
          <cell r="J57">
            <v>11.968553072060994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50</v>
          </cell>
          <cell r="E59">
            <v>0</v>
          </cell>
          <cell r="G59">
            <v>11.968553072060994</v>
          </cell>
          <cell r="H59">
            <v>11.968553072060994</v>
          </cell>
        </row>
        <row r="60">
          <cell r="G60" t="str">
            <v>  ------</v>
          </cell>
          <cell r="H60" t="str">
            <v>  ------</v>
          </cell>
        </row>
        <row r="61">
          <cell r="A61" t="str">
            <v>Total Variable Costs</v>
          </cell>
          <cell r="G61">
            <v>333.50507851207396</v>
          </cell>
          <cell r="H61">
            <v>333.50507851207396</v>
          </cell>
        </row>
        <row r="63">
          <cell r="D63" t="str">
            <v>Typical</v>
          </cell>
          <cell r="E63" t="str">
            <v> Enterprise</v>
          </cell>
          <cell r="K63" t="str">
            <v>Wfarm!K4</v>
          </cell>
        </row>
        <row r="64">
          <cell r="A64" t="str">
            <v>Fixed Costs:</v>
          </cell>
          <cell r="D64" t="str">
            <v> $/Acre</v>
          </cell>
          <cell r="E64" t="str">
            <v> $ Allocated</v>
          </cell>
          <cell r="G64" t="str">
            <v>$/Acre</v>
          </cell>
          <cell r="H64" t="str">
            <v>$/Year</v>
          </cell>
          <cell r="K64" t="str">
            <v>Wfarm!K5</v>
          </cell>
        </row>
        <row r="65">
          <cell r="A65" t="str">
            <v> Depreciation</v>
          </cell>
          <cell r="D65">
            <v>29</v>
          </cell>
          <cell r="E65">
            <v>0</v>
          </cell>
          <cell r="G65">
            <v>29</v>
          </cell>
          <cell r="H65">
            <v>29</v>
          </cell>
          <cell r="K65" t="str">
            <v>Wfarm!K6</v>
          </cell>
        </row>
        <row r="66">
          <cell r="A66" t="str">
            <v> Interest on Term Loans</v>
          </cell>
          <cell r="D66">
            <v>17.5</v>
          </cell>
          <cell r="E66">
            <v>0</v>
          </cell>
          <cell r="G66">
            <v>17.5</v>
          </cell>
          <cell r="H66">
            <v>17.5</v>
          </cell>
          <cell r="K66" t="str">
            <v>Wfarm!K7</v>
          </cell>
        </row>
        <row r="67">
          <cell r="A67" t="str">
            <v> Long-term Leases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General Fixed Costs</v>
          </cell>
          <cell r="D68">
            <v>5</v>
          </cell>
          <cell r="E68">
            <v>0</v>
          </cell>
          <cell r="G68">
            <v>5</v>
          </cell>
          <cell r="H68">
            <v>5</v>
          </cell>
        </row>
        <row r="69">
          <cell r="G69" t="str">
            <v>  ------</v>
          </cell>
          <cell r="H69" t="str">
            <v>  ------</v>
          </cell>
        </row>
        <row r="70">
          <cell r="A70" t="str">
            <v>Total Fixed Costs</v>
          </cell>
          <cell r="G70">
            <v>51.5</v>
          </cell>
          <cell r="H70">
            <v>51.5</v>
          </cell>
        </row>
        <row r="72">
          <cell r="A72" t="str">
            <v>Revenues:</v>
          </cell>
          <cell r="E72" t="str">
            <v>$/Acre</v>
          </cell>
          <cell r="F72" t="str">
            <v>$/Year</v>
          </cell>
        </row>
        <row r="73">
          <cell r="A73" t="str">
            <v>Total Expected Revenues</v>
          </cell>
          <cell r="E73">
            <v>447.2</v>
          </cell>
          <cell r="F73">
            <v>447.2</v>
          </cell>
        </row>
        <row r="74">
          <cell r="A74" t="str">
            <v>    add: Expected Insurance Revenues</v>
          </cell>
          <cell r="E74">
            <v>56.488294452697446</v>
          </cell>
          <cell r="F74">
            <v>56.488294452697446</v>
          </cell>
        </row>
        <row r="75">
          <cell r="A75" t="str">
            <v>    less: Variable Costs</v>
          </cell>
          <cell r="E75">
            <v>333.50507851207396</v>
          </cell>
          <cell r="F75">
            <v>333.50507851207396</v>
          </cell>
        </row>
        <row r="76">
          <cell r="E76" t="str">
            <v>  ------</v>
          </cell>
          <cell r="F76" t="str">
            <v>  ------</v>
          </cell>
        </row>
        <row r="77">
          <cell r="A77" t="str">
            <v>Expected Operating Margin</v>
          </cell>
          <cell r="E77">
            <v>170.18321594062348</v>
          </cell>
          <cell r="F77">
            <v>170.18321594062348</v>
          </cell>
        </row>
        <row r="78">
          <cell r="A78" t="str">
            <v>    less: Fixed Costs</v>
          </cell>
          <cell r="E78">
            <v>51.5</v>
          </cell>
          <cell r="F78">
            <v>51.5</v>
          </cell>
        </row>
        <row r="79">
          <cell r="E79" t="str">
            <v>  ------</v>
          </cell>
          <cell r="F79" t="str">
            <v>  ------</v>
          </cell>
        </row>
        <row r="80">
          <cell r="A80" t="str">
            <v>Expected Net Revenue</v>
          </cell>
          <cell r="E80">
            <v>118.68321594062348</v>
          </cell>
          <cell r="F80">
            <v>118.68321594062348</v>
          </cell>
        </row>
        <row r="82">
          <cell r="A82" t="str">
            <v>         Break-even $/bu to cover:</v>
          </cell>
          <cell r="E82" t="str">
            <v>Variable Costs</v>
          </cell>
          <cell r="G82">
            <v>2.5654236808621076</v>
          </cell>
        </row>
        <row r="83">
          <cell r="E83" t="str">
            <v>Fixed Costs</v>
          </cell>
          <cell r="G83">
            <v>0.39615384615384613</v>
          </cell>
        </row>
        <row r="84">
          <cell r="G84" t="str">
            <v>  ------</v>
          </cell>
        </row>
        <row r="85">
          <cell r="E85" t="str">
            <v>Total Costs</v>
          </cell>
          <cell r="G85">
            <v>2.9615775270159537</v>
          </cell>
        </row>
        <row r="86">
          <cell r="A86" t="str">
            <v>=</v>
          </cell>
          <cell r="B86" t="str">
            <v>=</v>
          </cell>
          <cell r="C86" t="str">
            <v>=</v>
          </cell>
          <cell r="D86" t="str">
            <v>=</v>
          </cell>
          <cell r="E86" t="str">
            <v>=</v>
          </cell>
          <cell r="F86" t="str">
            <v>=</v>
          </cell>
          <cell r="G86" t="str">
            <v>=</v>
          </cell>
          <cell r="H86" t="str">
            <v>=</v>
          </cell>
        </row>
        <row r="87">
          <cell r="B87" t="str">
            <v>Chance of at least breaking even          ==&gt;</v>
          </cell>
          <cell r="G87">
            <v>0.7584593192605316</v>
          </cell>
        </row>
        <row r="88">
          <cell r="B88" t="str">
            <v>Chance of at least</v>
          </cell>
          <cell r="D88">
            <v>0</v>
          </cell>
          <cell r="E88" t="str">
            <v>$/acre return  ==&gt;</v>
          </cell>
          <cell r="G88">
            <v>0.7584593192605316</v>
          </cell>
          <cell r="I88">
            <v>118.68321594062348</v>
          </cell>
        </row>
        <row r="89">
          <cell r="B89" t="str">
            <v>Coefficient of variation                  ==&gt;</v>
          </cell>
          <cell r="G89">
            <v>0.3783986903960472</v>
          </cell>
          <cell r="I89">
            <v>45.173092999999994</v>
          </cell>
        </row>
        <row r="90">
          <cell r="H90" t="str">
            <v>mn</v>
          </cell>
          <cell r="I90">
            <v>0.48675626999999977</v>
          </cell>
        </row>
        <row r="91">
          <cell r="C91" t="str">
            <v>Returns $/acre</v>
          </cell>
          <cell r="E91" t="str">
            <v>Chances of at least</v>
          </cell>
          <cell r="H91" t="str">
            <v>ystd</v>
          </cell>
          <cell r="I91">
            <v>169.2198943451123</v>
          </cell>
        </row>
        <row r="92">
          <cell r="E92" t="str">
            <v>this return per acre</v>
          </cell>
          <cell r="H92" t="str">
            <v>pstd</v>
          </cell>
        </row>
        <row r="93">
          <cell r="C93">
            <v>282.8265134553824</v>
          </cell>
          <cell r="E93" t="str">
            <v>       17 %</v>
          </cell>
          <cell r="I93">
            <v>0.7013549819300635</v>
          </cell>
          <cell r="J93">
            <v>0.7013549819300635</v>
          </cell>
        </row>
        <row r="94">
          <cell r="C94">
            <v>191.44777050902178</v>
          </cell>
          <cell r="E94" t="str">
            <v>       33 %</v>
          </cell>
          <cell r="H94" t="str">
            <v>z</v>
          </cell>
          <cell r="I94">
            <v>0.8602422850835503</v>
          </cell>
          <cell r="J94">
            <v>0.8602422850835503</v>
          </cell>
        </row>
        <row r="95">
          <cell r="C95">
            <v>118.68321594062348</v>
          </cell>
          <cell r="E95" t="str">
            <v>       50 %</v>
          </cell>
          <cell r="H95" t="str">
            <v>v1</v>
          </cell>
          <cell r="I95">
            <v>0.3119576189670534</v>
          </cell>
          <cell r="J95">
            <v>0.3119576189670534</v>
          </cell>
        </row>
        <row r="96">
          <cell r="C96">
            <v>45.9186613722252</v>
          </cell>
          <cell r="E96" t="str">
            <v>       67 %</v>
          </cell>
          <cell r="H96" t="str">
            <v>v2</v>
          </cell>
          <cell r="I96">
            <v>0.24154068073946844</v>
          </cell>
          <cell r="J96">
            <v>0.24154068073946844</v>
          </cell>
        </row>
        <row r="97">
          <cell r="C97">
            <v>-45.460081574135444</v>
          </cell>
          <cell r="E97" t="str">
            <v>       83 %</v>
          </cell>
          <cell r="H97" t="str">
            <v>p(vx)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GOAT"/>
    </sheetNames>
    <sheetDataSet>
      <sheetData sheetId="0">
        <row r="1">
          <cell r="A1" t="str">
            <v>Dgoat 1</v>
          </cell>
          <cell r="C1" t="str">
            <v>DAIRY GOAT HERD ENTERPRISE BUDGET</v>
          </cell>
          <cell r="G1" t="str">
            <v>Revised:May '98</v>
          </cell>
        </row>
        <row r="2">
          <cell r="A2">
            <v>302</v>
          </cell>
          <cell r="F2" t="str">
            <v>Profit Per Doe:</v>
          </cell>
          <cell r="H2" t="e">
            <v>#REF!</v>
          </cell>
        </row>
        <row r="3">
          <cell r="G3" t="str">
            <v>Revised: June 94</v>
          </cell>
        </row>
        <row r="4">
          <cell r="A4" t="str">
            <v>Number of Milking Does</v>
          </cell>
          <cell r="D4" t="str">
            <v>hd</v>
          </cell>
          <cell r="E4">
            <v>300</v>
          </cell>
        </row>
        <row r="5">
          <cell r="A5" t="str">
            <v>Percent Does Culled</v>
          </cell>
          <cell r="D5" t="str">
            <v>%</v>
          </cell>
          <cell r="E5">
            <v>20</v>
          </cell>
        </row>
        <row r="6">
          <cell r="A6" t="str">
            <v>Milking Doe Death Loss</v>
          </cell>
          <cell r="D6" t="str">
            <v>%</v>
          </cell>
          <cell r="E6">
            <v>2</v>
          </cell>
        </row>
        <row r="7">
          <cell r="A7" t="str">
            <v>Weight of Cull Does</v>
          </cell>
          <cell r="D7" t="str">
            <v>lbs</v>
          </cell>
          <cell r="E7">
            <v>135</v>
          </cell>
        </row>
        <row r="8">
          <cell r="A8" t="str">
            <v>Price of Cull Does</v>
          </cell>
          <cell r="D8" t="str">
            <v>c/lb</v>
          </cell>
          <cell r="E8">
            <v>50</v>
          </cell>
        </row>
        <row r="9">
          <cell r="A9" t="str">
            <v>Replacement Does Raised</v>
          </cell>
          <cell r="D9" t="str">
            <v>hd</v>
          </cell>
          <cell r="E9">
            <v>66</v>
          </cell>
        </row>
        <row r="10">
          <cell r="A10" t="str">
            <v>Number of Breeding Bucks</v>
          </cell>
          <cell r="D10" t="str">
            <v>hd</v>
          </cell>
          <cell r="E10">
            <v>6</v>
          </cell>
        </row>
        <row r="11">
          <cell r="A11" t="str">
            <v>Weight of Cull Bucks</v>
          </cell>
          <cell r="D11" t="str">
            <v>lbs</v>
          </cell>
          <cell r="E11">
            <v>225</v>
          </cell>
        </row>
        <row r="12">
          <cell r="A12" t="str">
            <v>Price of Cull Bucks</v>
          </cell>
          <cell r="D12" t="str">
            <v>c/lb</v>
          </cell>
          <cell r="E12">
            <v>55</v>
          </cell>
        </row>
        <row r="13">
          <cell r="A13" t="str">
            <v>Number of Bucks Culled</v>
          </cell>
          <cell r="D13" t="str">
            <v>hd</v>
          </cell>
          <cell r="E13">
            <v>2</v>
          </cell>
        </row>
        <row r="14">
          <cell r="K14">
            <v>0</v>
          </cell>
        </row>
        <row r="15">
          <cell r="E15" t="str">
            <v>Opt.</v>
          </cell>
          <cell r="F15" t="str">
            <v> Expected</v>
          </cell>
          <cell r="G15" t="str">
            <v>Pess.</v>
          </cell>
          <cell r="K15">
            <v>107476</v>
          </cell>
        </row>
        <row r="16">
          <cell r="A16" t="str">
            <v>Percent Kid Crop</v>
          </cell>
          <cell r="D16" t="str">
            <v>%</v>
          </cell>
          <cell r="E16">
            <v>200</v>
          </cell>
          <cell r="F16">
            <v>180</v>
          </cell>
          <cell r="G16">
            <v>150</v>
          </cell>
          <cell r="K16" t="e">
            <v>#REF!</v>
          </cell>
        </row>
        <row r="17">
          <cell r="A17" t="str">
            <v>Percent Kid Mortality</v>
          </cell>
          <cell r="D17" t="str">
            <v>%</v>
          </cell>
          <cell r="E17">
            <v>5</v>
          </cell>
          <cell r="F17">
            <v>10</v>
          </cell>
          <cell r="G17">
            <v>15</v>
          </cell>
          <cell r="K17">
            <v>154447.5</v>
          </cell>
        </row>
        <row r="18">
          <cell r="A18" t="str">
            <v>Marketable Kid Crop</v>
          </cell>
          <cell r="D18" t="str">
            <v>hd</v>
          </cell>
          <cell r="E18">
            <v>570</v>
          </cell>
          <cell r="F18">
            <v>486</v>
          </cell>
          <cell r="G18">
            <v>383</v>
          </cell>
          <cell r="K18">
            <v>47035.833680291034</v>
          </cell>
        </row>
        <row r="19">
          <cell r="A19" t="str">
            <v>Selling Price of Kids</v>
          </cell>
          <cell r="D19" t="str">
            <v>$/hd</v>
          </cell>
          <cell r="E19">
            <v>35</v>
          </cell>
          <cell r="F19">
            <v>20</v>
          </cell>
          <cell r="G19">
            <v>15</v>
          </cell>
        </row>
        <row r="20">
          <cell r="A20" t="str">
            <v>Milk Yield per Doe</v>
          </cell>
          <cell r="D20" t="str">
            <v>l/hd</v>
          </cell>
          <cell r="E20">
            <v>800</v>
          </cell>
          <cell r="F20">
            <v>675</v>
          </cell>
          <cell r="G20">
            <v>500</v>
          </cell>
          <cell r="K20" t="str">
            <v>Tran!D3..G14</v>
          </cell>
        </row>
        <row r="21">
          <cell r="A21" t="str">
            <v>Price of Milk</v>
          </cell>
          <cell r="D21" t="str">
            <v>$/hl</v>
          </cell>
          <cell r="E21">
            <v>80</v>
          </cell>
          <cell r="F21">
            <v>70</v>
          </cell>
          <cell r="G21">
            <v>50</v>
          </cell>
          <cell r="K21" t="str">
            <v>Allo!C3..J14</v>
          </cell>
        </row>
        <row r="22">
          <cell r="K22">
            <v>300</v>
          </cell>
        </row>
        <row r="23">
          <cell r="A23" t="str">
            <v>Expected Revenues:</v>
          </cell>
          <cell r="D23" t="str">
            <v>Unit</v>
          </cell>
          <cell r="E23" t="str">
            <v>Number</v>
          </cell>
          <cell r="F23" t="str">
            <v>$/Unit</v>
          </cell>
          <cell r="H23" t="str">
            <v>$/Year</v>
          </cell>
          <cell r="K23">
            <v>600</v>
          </cell>
        </row>
        <row r="24">
          <cell r="A24" t="str">
            <v> Breeding Doe Kid Sales </v>
          </cell>
          <cell r="D24" t="str">
            <v>hd</v>
          </cell>
          <cell r="E24">
            <v>0</v>
          </cell>
          <cell r="F24">
            <v>150</v>
          </cell>
          <cell r="H24">
            <v>0</v>
          </cell>
          <cell r="K24">
            <v>32040</v>
          </cell>
        </row>
        <row r="25">
          <cell r="A25" t="str">
            <v> Breeding Buck Kid Sales</v>
          </cell>
          <cell r="D25" t="str">
            <v>hd</v>
          </cell>
          <cell r="E25">
            <v>0</v>
          </cell>
          <cell r="F25">
            <v>250</v>
          </cell>
          <cell r="H25">
            <v>0</v>
          </cell>
          <cell r="K25">
            <v>4500</v>
          </cell>
        </row>
        <row r="26">
          <cell r="A26" t="str">
            <v> Other Breeding Stock Sales</v>
          </cell>
          <cell r="D26" t="str">
            <v>hd</v>
          </cell>
          <cell r="E26">
            <v>0</v>
          </cell>
          <cell r="F26">
            <v>0</v>
          </cell>
          <cell r="H26">
            <v>0</v>
          </cell>
          <cell r="K26">
            <v>12000</v>
          </cell>
        </row>
        <row r="27">
          <cell r="A27" t="str">
            <v> Cull Doe Sales</v>
          </cell>
          <cell r="D27" t="str">
            <v>hd</v>
          </cell>
          <cell r="E27">
            <v>60</v>
          </cell>
          <cell r="F27">
            <v>67.5</v>
          </cell>
          <cell r="H27">
            <v>4050</v>
          </cell>
          <cell r="K27">
            <v>15600</v>
          </cell>
        </row>
        <row r="28">
          <cell r="A28" t="str">
            <v> Cull Buck Sales</v>
          </cell>
          <cell r="D28" t="str">
            <v>hd</v>
          </cell>
          <cell r="E28">
            <v>2</v>
          </cell>
          <cell r="F28">
            <v>123.75</v>
          </cell>
          <cell r="H28">
            <v>247.5</v>
          </cell>
          <cell r="K28">
            <v>0</v>
          </cell>
        </row>
        <row r="29">
          <cell r="A29" t="str">
            <v> Market Kid Sales</v>
          </cell>
          <cell r="D29" t="str">
            <v>hd</v>
          </cell>
          <cell r="E29">
            <v>420</v>
          </cell>
          <cell r="F29">
            <v>20</v>
          </cell>
          <cell r="H29">
            <v>8400</v>
          </cell>
        </row>
        <row r="30">
          <cell r="A30" t="str">
            <v> Milk Sales </v>
          </cell>
          <cell r="D30" t="str">
            <v>hl</v>
          </cell>
          <cell r="E30">
            <v>2025</v>
          </cell>
          <cell r="F30">
            <v>70</v>
          </cell>
          <cell r="H30">
            <v>141750</v>
          </cell>
        </row>
        <row r="31">
          <cell r="A31" t="str">
            <v>-</v>
          </cell>
          <cell r="B31" t="str">
            <v>-</v>
          </cell>
          <cell r="H31" t="str">
            <v>-</v>
          </cell>
        </row>
        <row r="32">
          <cell r="A32" t="str">
            <v>Expected Total Revenue</v>
          </cell>
          <cell r="H32">
            <v>154447.5</v>
          </cell>
        </row>
        <row r="34">
          <cell r="A34" t="str">
            <v>=</v>
          </cell>
          <cell r="B34" t="str">
            <v>=</v>
          </cell>
          <cell r="C34" t="str">
            <v>=</v>
          </cell>
          <cell r="D34" t="str">
            <v>=</v>
          </cell>
          <cell r="E34" t="str">
            <v>=</v>
          </cell>
          <cell r="F34" t="str">
            <v>=</v>
          </cell>
          <cell r="G34" t="str">
            <v>=</v>
          </cell>
          <cell r="H34" t="str">
            <v>=</v>
          </cell>
        </row>
        <row r="35">
          <cell r="A35" t="str">
            <v>Number of Does to Base Variable Costs on ==&gt;</v>
          </cell>
          <cell r="F35">
            <v>300</v>
          </cell>
          <cell r="G35" t="str">
            <v>**</v>
          </cell>
        </row>
        <row r="36">
          <cell r="A36" t="str">
            <v>**(Enter the herd size used to determine variable costs)</v>
          </cell>
        </row>
        <row r="38">
          <cell r="A38" t="str">
            <v>EXPENSES</v>
          </cell>
          <cell r="E38" t="str">
            <v>Typical</v>
          </cell>
          <cell r="F38" t="str">
            <v>$/Year</v>
          </cell>
          <cell r="H38" t="str">
            <v>$/Year</v>
          </cell>
        </row>
        <row r="39">
          <cell r="E39" t="str">
            <v>$/Doe</v>
          </cell>
          <cell r="F39" t="str">
            <v>300 Does</v>
          </cell>
          <cell r="G39" t="str">
            <v>$/Doe</v>
          </cell>
          <cell r="H39" t="str">
            <v> 300 Does</v>
          </cell>
        </row>
        <row r="40">
          <cell r="A40" t="str">
            <v> Variable Costs:</v>
          </cell>
          <cell r="E40" t="str">
            <v>--------</v>
          </cell>
          <cell r="F40" t="str">
            <v>--------</v>
          </cell>
          <cell r="G40" t="str">
            <v>   -----</v>
          </cell>
          <cell r="H40" t="str">
            <v> --------</v>
          </cell>
        </row>
        <row r="41">
          <cell r="A41" t="str">
            <v>Purchased Feed</v>
          </cell>
        </row>
        <row r="42">
          <cell r="A42" t="str">
            <v>  Hay  #1</v>
          </cell>
          <cell r="B42" t="str">
            <v>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      #2</v>
          </cell>
          <cell r="B43" t="str">
            <v>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 Grain#1</v>
          </cell>
          <cell r="B44" t="str">
            <v>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#2</v>
          </cell>
          <cell r="B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Protein Supplement</v>
          </cell>
          <cell r="E46">
            <v>6</v>
          </cell>
          <cell r="F46">
            <v>2250</v>
          </cell>
          <cell r="G46">
            <v>7.5</v>
          </cell>
          <cell r="H46">
            <v>2250</v>
          </cell>
        </row>
        <row r="47">
          <cell r="A47" t="str">
            <v>  Salt &amp; Mineral</v>
          </cell>
          <cell r="E47">
            <v>5.3</v>
          </cell>
          <cell r="F47">
            <v>1590</v>
          </cell>
          <cell r="G47">
            <v>5.3</v>
          </cell>
          <cell r="H47">
            <v>1590</v>
          </cell>
        </row>
        <row r="48">
          <cell r="A48" t="str">
            <v>  Prepared Feeds</v>
          </cell>
          <cell r="E48">
            <v>100</v>
          </cell>
          <cell r="F48">
            <v>28200</v>
          </cell>
          <cell r="G48">
            <v>94</v>
          </cell>
          <cell r="H48">
            <v>28200</v>
          </cell>
        </row>
        <row r="51">
          <cell r="A51" t="str">
            <v>Homegrown Feed: (from transfer table)</v>
          </cell>
        </row>
        <row r="52">
          <cell r="A52" t="str">
            <v> Crop Transfers (based on </v>
          </cell>
          <cell r="D52">
            <v>300</v>
          </cell>
          <cell r="E52" t="str">
            <v>Does)</v>
          </cell>
          <cell r="G52">
            <v>0</v>
          </cell>
          <cell r="H52">
            <v>0</v>
          </cell>
        </row>
        <row r="54">
          <cell r="E54" t="str">
            <v>Typical</v>
          </cell>
          <cell r="F54" t="str">
            <v>$/Year</v>
          </cell>
          <cell r="H54" t="str">
            <v>$/Year</v>
          </cell>
        </row>
        <row r="55">
          <cell r="E55" t="str">
            <v>$/Doe</v>
          </cell>
          <cell r="F55" t="str">
            <v>300 Does</v>
          </cell>
          <cell r="G55" t="str">
            <v>$/Doe</v>
          </cell>
          <cell r="H55" t="str">
            <v> 300 Does</v>
          </cell>
        </row>
        <row r="56">
          <cell r="E56" t="str">
            <v>--------</v>
          </cell>
          <cell r="F56" t="str">
            <v>--------</v>
          </cell>
          <cell r="G56" t="str">
            <v>   -----</v>
          </cell>
          <cell r="H56" t="str">
            <v> --------</v>
          </cell>
        </row>
        <row r="57">
          <cell r="B57" t="str">
            <v> *** (Input ONLY if NOT using Crop Transfer table) ***</v>
          </cell>
        </row>
        <row r="58">
          <cell r="A58" t="str">
            <v>Pasture#1</v>
          </cell>
          <cell r="B58" t="str">
            <v> Improved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      #2</v>
          </cell>
          <cell r="B59" t="str">
            <v> Unimpoved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       #3</v>
          </cell>
          <cell r="B60" t="str">
            <v>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Hay    #1</v>
          </cell>
          <cell r="B61" t="str">
            <v> </v>
          </cell>
          <cell r="E61">
            <v>15</v>
          </cell>
          <cell r="F61">
            <v>4200</v>
          </cell>
          <cell r="G61">
            <v>14</v>
          </cell>
          <cell r="H61">
            <v>4200</v>
          </cell>
        </row>
        <row r="62">
          <cell r="A62" t="str">
            <v>       #2</v>
          </cell>
          <cell r="B62" t="str">
            <v> </v>
          </cell>
          <cell r="E62">
            <v>32</v>
          </cell>
          <cell r="F62">
            <v>9000</v>
          </cell>
          <cell r="G62">
            <v>30</v>
          </cell>
          <cell r="H62">
            <v>9000</v>
          </cell>
        </row>
        <row r="63">
          <cell r="A63" t="str">
            <v>Grain  #1</v>
          </cell>
          <cell r="B63" t="str">
            <v> 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G65" t="str">
            <v>-</v>
          </cell>
          <cell r="H65" t="str">
            <v>  -------</v>
          </cell>
        </row>
        <row r="66">
          <cell r="A66" t="str">
            <v>Total Feed Costs</v>
          </cell>
          <cell r="G66">
            <v>150.8</v>
          </cell>
          <cell r="H66">
            <v>45240</v>
          </cell>
        </row>
        <row r="67">
          <cell r="H67" t="str">
            <v>$/Year</v>
          </cell>
        </row>
        <row r="68">
          <cell r="E68" t="str">
            <v>Head</v>
          </cell>
          <cell r="F68" t="str">
            <v>$/Head</v>
          </cell>
          <cell r="G68" t="str">
            <v>$/Doe</v>
          </cell>
          <cell r="H68" t="str">
            <v> 300 Does</v>
          </cell>
        </row>
        <row r="69">
          <cell r="A69" t="str">
            <v> Livestock Replacement</v>
          </cell>
          <cell r="E69" t="str">
            <v>    ----</v>
          </cell>
          <cell r="F69" t="str">
            <v>  ------</v>
          </cell>
          <cell r="G69" t="str">
            <v>   -----</v>
          </cell>
          <cell r="H69" t="str">
            <v>-</v>
          </cell>
        </row>
        <row r="70">
          <cell r="A70" t="str">
            <v>  Buck Purchase</v>
          </cell>
          <cell r="E70">
            <v>2</v>
          </cell>
          <cell r="F70">
            <v>300</v>
          </cell>
          <cell r="G70">
            <v>2</v>
          </cell>
          <cell r="H70">
            <v>600</v>
          </cell>
        </row>
        <row r="71">
          <cell r="A71" t="str">
            <v>  Buck Lease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  Milking Doe Purchase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  Replacement Doe Purchase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  Other -</v>
          </cell>
          <cell r="B74" t="str">
            <v> Description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E76" t="str">
            <v>Typical</v>
          </cell>
          <cell r="F76" t="str">
            <v>$/Year</v>
          </cell>
          <cell r="H76" t="str">
            <v>$/Year</v>
          </cell>
        </row>
        <row r="77">
          <cell r="E77" t="str">
            <v>$/Doe</v>
          </cell>
          <cell r="F77" t="str">
            <v>300 Does</v>
          </cell>
          <cell r="G77" t="str">
            <v>$/Doe</v>
          </cell>
          <cell r="H77" t="str">
            <v> 300 Does</v>
          </cell>
        </row>
        <row r="78">
          <cell r="E78" t="str">
            <v> -------</v>
          </cell>
          <cell r="F78" t="str">
            <v>--------</v>
          </cell>
          <cell r="G78" t="str">
            <v>   -----</v>
          </cell>
          <cell r="H78" t="str">
            <v>-</v>
          </cell>
        </row>
        <row r="79">
          <cell r="A79" t="str">
            <v> Hired Labour</v>
          </cell>
          <cell r="E79">
            <v>0</v>
          </cell>
          <cell r="F79">
            <v>1200</v>
          </cell>
          <cell r="G79">
            <v>4</v>
          </cell>
          <cell r="H79">
            <v>1200</v>
          </cell>
        </row>
        <row r="80">
          <cell r="A80" t="str">
            <v> Veterinary &amp; Medicine</v>
          </cell>
          <cell r="E80">
            <v>16</v>
          </cell>
          <cell r="F80">
            <v>4500</v>
          </cell>
          <cell r="G80">
            <v>15</v>
          </cell>
          <cell r="H80">
            <v>4500</v>
          </cell>
        </row>
        <row r="81">
          <cell r="A81" t="str">
            <v> Breeding Costs</v>
          </cell>
          <cell r="E81">
            <v>20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 Bedding</v>
          </cell>
          <cell r="E82">
            <v>1</v>
          </cell>
          <cell r="F82">
            <v>300</v>
          </cell>
          <cell r="G82">
            <v>1</v>
          </cell>
          <cell r="H82">
            <v>300</v>
          </cell>
        </row>
        <row r="83">
          <cell r="A83" t="str">
            <v> Marketing</v>
          </cell>
          <cell r="E83">
            <v>15</v>
          </cell>
          <cell r="F83">
            <v>5100</v>
          </cell>
          <cell r="G83">
            <v>17</v>
          </cell>
          <cell r="H83">
            <v>5100</v>
          </cell>
        </row>
        <row r="84">
          <cell r="A84" t="str">
            <v> Transportation</v>
          </cell>
          <cell r="E84">
            <v>35</v>
          </cell>
          <cell r="F84">
            <v>10500</v>
          </cell>
          <cell r="G84">
            <v>35</v>
          </cell>
          <cell r="H84">
            <v>10500</v>
          </cell>
        </row>
        <row r="85">
          <cell r="A85" t="str">
            <v> Livestock Supplies</v>
          </cell>
          <cell r="E85">
            <v>12.38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 Custom Work</v>
          </cell>
          <cell r="E86">
            <v>5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 Equipment Rental</v>
          </cell>
          <cell r="E87">
            <v>5.26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 Miscellaneous (Tags, etc.)</v>
          </cell>
          <cell r="E88">
            <v>32</v>
          </cell>
          <cell r="F88">
            <v>10500</v>
          </cell>
          <cell r="G88">
            <v>35</v>
          </cell>
          <cell r="H88">
            <v>10500</v>
          </cell>
        </row>
        <row r="89">
          <cell r="D89" t="str">
            <v>Typical</v>
          </cell>
          <cell r="E89" t="str">
            <v> Enterprise</v>
          </cell>
          <cell r="H89" t="str">
            <v>$/Year</v>
          </cell>
        </row>
        <row r="90">
          <cell r="D90" t="str">
            <v> $/Doe</v>
          </cell>
          <cell r="E90" t="str">
            <v> $ Allocated</v>
          </cell>
          <cell r="G90" t="str">
            <v>$/Doe</v>
          </cell>
          <cell r="H90" t="str">
            <v> 300 Does</v>
          </cell>
        </row>
        <row r="91">
          <cell r="A91" t="str">
            <v> Fuel</v>
          </cell>
          <cell r="D91">
            <v>2.5</v>
          </cell>
          <cell r="E91">
            <v>0</v>
          </cell>
          <cell r="G91">
            <v>2.5</v>
          </cell>
          <cell r="H91">
            <v>750</v>
          </cell>
        </row>
        <row r="92">
          <cell r="A92" t="str">
            <v> Mach. Repair &amp; Maint.</v>
          </cell>
          <cell r="D92">
            <v>4.25</v>
          </cell>
          <cell r="E92">
            <v>0</v>
          </cell>
          <cell r="G92">
            <v>4.25</v>
          </cell>
          <cell r="H92">
            <v>1275</v>
          </cell>
          <cell r="K92" t="str">
            <v>Wfarm!L4</v>
          </cell>
        </row>
        <row r="93">
          <cell r="A93" t="str">
            <v> Bldg. Repair &amp; Maint.</v>
          </cell>
          <cell r="D93">
            <v>40</v>
          </cell>
          <cell r="E93">
            <v>0</v>
          </cell>
          <cell r="G93">
            <v>40</v>
          </cell>
          <cell r="H93">
            <v>12000</v>
          </cell>
          <cell r="K93" t="str">
            <v>Wfarm!L5</v>
          </cell>
        </row>
        <row r="94">
          <cell r="A94" t="str">
            <v> Rent and Labour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K94" t="str">
            <v>Wfarm!L6</v>
          </cell>
        </row>
        <row r="95">
          <cell r="A95" t="str">
            <v> General Variable Costs</v>
          </cell>
          <cell r="D95">
            <v>44</v>
          </cell>
          <cell r="E95">
            <v>0</v>
          </cell>
          <cell r="G95">
            <v>44</v>
          </cell>
          <cell r="H95">
            <v>13200</v>
          </cell>
          <cell r="K95" t="str">
            <v>Wfarm!L7</v>
          </cell>
        </row>
        <row r="96">
          <cell r="A96" t="str">
            <v> Interest on</v>
          </cell>
          <cell r="C96" t="str">
            <v>%int</v>
          </cell>
          <cell r="D96" t="str">
            <v>%year</v>
          </cell>
          <cell r="K96" t="str">
            <v>Wfarm!L8</v>
          </cell>
        </row>
        <row r="97">
          <cell r="A97" t="str">
            <v> Operating Capital</v>
          </cell>
          <cell r="C97">
            <v>7.75</v>
          </cell>
          <cell r="D97">
            <v>33.3</v>
          </cell>
          <cell r="E97">
            <v>0</v>
          </cell>
          <cell r="G97">
            <v>7.703333333333333</v>
          </cell>
          <cell r="H97">
            <v>2311</v>
          </cell>
        </row>
        <row r="98">
          <cell r="G98" t="str">
            <v>  ------</v>
          </cell>
          <cell r="H98" t="str">
            <v>  ------</v>
          </cell>
        </row>
        <row r="99">
          <cell r="A99" t="str">
            <v>Total Variable Costs</v>
          </cell>
          <cell r="G99">
            <v>358.25333333333333</v>
          </cell>
          <cell r="H99">
            <v>107476</v>
          </cell>
          <cell r="K99" t="str">
            <v>Wfarm!L9</v>
          </cell>
        </row>
        <row r="100">
          <cell r="J100">
            <v>2311</v>
          </cell>
        </row>
        <row r="101">
          <cell r="D101" t="str">
            <v>Typical</v>
          </cell>
          <cell r="E101" t="str">
            <v> Enterprise</v>
          </cell>
          <cell r="H101" t="str">
            <v>$/Year</v>
          </cell>
        </row>
        <row r="102">
          <cell r="A102" t="str">
            <v>Fixed Costs:</v>
          </cell>
          <cell r="D102" t="str">
            <v> $/Doe</v>
          </cell>
          <cell r="E102" t="str">
            <v> $ Allocated</v>
          </cell>
          <cell r="G102" t="str">
            <v>$/Doe</v>
          </cell>
          <cell r="H102" t="str">
            <v> 300 Does</v>
          </cell>
        </row>
        <row r="103">
          <cell r="A103" t="str">
            <v> Depreciation</v>
          </cell>
          <cell r="D103">
            <v>26</v>
          </cell>
          <cell r="E103">
            <v>0</v>
          </cell>
          <cell r="G103" t="e">
            <v>#REF!</v>
          </cell>
          <cell r="H103" t="e">
            <v>#REF!</v>
          </cell>
        </row>
        <row r="104">
          <cell r="A104" t="str">
            <v> Interest on Term Loans</v>
          </cell>
          <cell r="D104">
            <v>45</v>
          </cell>
          <cell r="E104">
            <v>0</v>
          </cell>
          <cell r="G104" t="e">
            <v>#REF!</v>
          </cell>
          <cell r="H104" t="e">
            <v>#REF!</v>
          </cell>
        </row>
        <row r="105">
          <cell r="A105" t="str">
            <v> Long-term Leases</v>
          </cell>
          <cell r="D105">
            <v>0</v>
          </cell>
          <cell r="E105">
            <v>0</v>
          </cell>
          <cell r="G105" t="e">
            <v>#REF!</v>
          </cell>
          <cell r="H105" t="e">
            <v>#REF!</v>
          </cell>
          <cell r="K105" t="str">
            <v>Wfarm!K4</v>
          </cell>
        </row>
        <row r="106">
          <cell r="A106" t="str">
            <v> General Fixed Costs</v>
          </cell>
          <cell r="D106">
            <v>15</v>
          </cell>
          <cell r="E106">
            <v>0</v>
          </cell>
          <cell r="G106">
            <v>15</v>
          </cell>
          <cell r="H106">
            <v>4500</v>
          </cell>
          <cell r="K106" t="str">
            <v>Wfarm!K5</v>
          </cell>
        </row>
        <row r="107">
          <cell r="G107" t="str">
            <v>  ------</v>
          </cell>
          <cell r="H107" t="str">
            <v>  ------</v>
          </cell>
          <cell r="K107" t="str">
            <v>Wfarm!K6</v>
          </cell>
        </row>
        <row r="108">
          <cell r="A108" t="str">
            <v>Total Fixed Costs</v>
          </cell>
          <cell r="G108" t="e">
            <v>#REF!</v>
          </cell>
          <cell r="H108" t="e">
            <v>#REF!</v>
          </cell>
          <cell r="K108" t="str">
            <v>Wfarm!K7</v>
          </cell>
        </row>
        <row r="110">
          <cell r="A110" t="str">
            <v>Revenues:</v>
          </cell>
          <cell r="D110" t="str">
            <v>$/Doe</v>
          </cell>
          <cell r="E110" t="str">
            <v>$/Year</v>
          </cell>
        </row>
        <row r="111">
          <cell r="A111" t="str">
            <v>Total Expected Revenues</v>
          </cell>
          <cell r="D111">
            <v>514.825</v>
          </cell>
          <cell r="E111">
            <v>154447.5</v>
          </cell>
        </row>
        <row r="112">
          <cell r="A112" t="str">
            <v>    less: Variable Costs</v>
          </cell>
          <cell r="D112">
            <v>358.25333333333333</v>
          </cell>
          <cell r="E112">
            <v>107476</v>
          </cell>
        </row>
        <row r="113">
          <cell r="D113" t="str">
            <v>  ------</v>
          </cell>
          <cell r="E113" t="str">
            <v>  ------</v>
          </cell>
        </row>
        <row r="114">
          <cell r="A114" t="str">
            <v>Expected Operating Margin</v>
          </cell>
          <cell r="D114">
            <v>156.57166666666666</v>
          </cell>
          <cell r="E114">
            <v>46971.5</v>
          </cell>
        </row>
        <row r="115">
          <cell r="A115" t="str">
            <v>     less: Fixed Costs</v>
          </cell>
          <cell r="D115" t="e">
            <v>#REF!</v>
          </cell>
          <cell r="E115" t="e">
            <v>#REF!</v>
          </cell>
        </row>
        <row r="116">
          <cell r="D116" t="str">
            <v>  ------</v>
          </cell>
          <cell r="E116" t="str">
            <v>  ------</v>
          </cell>
        </row>
        <row r="117">
          <cell r="A117" t="str">
            <v>Expected Net Revenue</v>
          </cell>
          <cell r="D117" t="e">
            <v>#REF!</v>
          </cell>
          <cell r="E117" t="e">
            <v>#REF!</v>
          </cell>
        </row>
        <row r="120">
          <cell r="A120" t="str">
            <v>Expected Break-even per</v>
          </cell>
          <cell r="F120" t="str">
            <v>Kid Sold</v>
          </cell>
          <cell r="G120" t="str">
            <v> hl of Milk</v>
          </cell>
        </row>
        <row r="121">
          <cell r="A121" t="str">
            <v>Needed to Cover:</v>
          </cell>
          <cell r="D121" t="str">
            <v>Variable Costs</v>
          </cell>
          <cell r="F121" t="e">
            <v>#REF!</v>
          </cell>
          <cell r="G121" t="e">
            <v>#REF!</v>
          </cell>
        </row>
        <row r="122">
          <cell r="D122" t="str">
            <v>Fixed Costs</v>
          </cell>
          <cell r="F122" t="e">
            <v>#REF!</v>
          </cell>
          <cell r="G122" t="e">
            <v>#REF!</v>
          </cell>
        </row>
        <row r="123">
          <cell r="F123" t="str">
            <v>  ------</v>
          </cell>
          <cell r="G123" t="str">
            <v>  ------</v>
          </cell>
        </row>
        <row r="124">
          <cell r="D124" t="str">
            <v>Total Costs</v>
          </cell>
          <cell r="F124" t="e">
            <v>#REF!</v>
          </cell>
          <cell r="G124" t="e">
            <v>#REF!</v>
          </cell>
        </row>
        <row r="125">
          <cell r="A125" t="str">
            <v>=</v>
          </cell>
          <cell r="B125" t="str">
            <v>=</v>
          </cell>
          <cell r="C125" t="str">
            <v>=</v>
          </cell>
          <cell r="D125" t="str">
            <v>=</v>
          </cell>
          <cell r="E125" t="str">
            <v>=</v>
          </cell>
          <cell r="F125" t="str">
            <v>=</v>
          </cell>
          <cell r="G125" t="str">
            <v>=</v>
          </cell>
          <cell r="H125" t="str">
            <v>=</v>
          </cell>
          <cell r="J125" t="e">
            <v>#REF!</v>
          </cell>
        </row>
        <row r="126">
          <cell r="B126" t="str">
            <v>Chance of at least breaking even        ==&gt;</v>
          </cell>
          <cell r="G126" t="e">
            <v>#REF!</v>
          </cell>
          <cell r="H126" t="str">
            <v>StdPrKids</v>
          </cell>
          <cell r="J126" t="e">
            <v>#REF!</v>
          </cell>
        </row>
        <row r="127">
          <cell r="B127" t="str">
            <v>Chance of at least</v>
          </cell>
          <cell r="D127">
            <v>0</v>
          </cell>
          <cell r="E127" t="str">
            <v>$/doe return ==&gt;</v>
          </cell>
          <cell r="G127" t="e">
            <v>#REF!</v>
          </cell>
          <cell r="H127" t="str">
            <v>VarKids</v>
          </cell>
        </row>
        <row r="128">
          <cell r="B128" t="str">
            <v>Coefficient of variation                ==&gt;</v>
          </cell>
          <cell r="G128">
            <v>0.3045425382754077</v>
          </cell>
          <cell r="H128" t="str">
            <v>StdHlMilk</v>
          </cell>
        </row>
        <row r="129">
          <cell r="H129" t="str">
            <v>StdPrMilk</v>
          </cell>
        </row>
        <row r="130">
          <cell r="C130" t="str">
            <v>Returns $/Doe</v>
          </cell>
          <cell r="E130" t="str">
            <v>Chances of at least</v>
          </cell>
          <cell r="H130" t="str">
            <v>VarMilk</v>
          </cell>
          <cell r="I130">
            <v>0.935</v>
          </cell>
        </row>
        <row r="131">
          <cell r="E131" t="str">
            <v>this return per doe</v>
          </cell>
          <cell r="H131" t="str">
            <v>VarSum</v>
          </cell>
          <cell r="I131">
            <v>10</v>
          </cell>
        </row>
        <row r="132">
          <cell r="H132" t="str">
            <v>StdSum</v>
          </cell>
          <cell r="I132">
            <v>2799.0725</v>
          </cell>
        </row>
        <row r="133">
          <cell r="C133" t="e">
            <v>#REF!</v>
          </cell>
          <cell r="E133" t="str">
            <v>       17 %</v>
          </cell>
          <cell r="H133" t="str">
            <v>z</v>
          </cell>
          <cell r="I133">
            <v>1.5</v>
          </cell>
        </row>
        <row r="134">
          <cell r="C134" t="e">
            <v>#REF!</v>
          </cell>
          <cell r="E134" t="str">
            <v>       33 %</v>
          </cell>
          <cell r="H134" t="str">
            <v>v1</v>
          </cell>
          <cell r="I134">
            <v>15</v>
          </cell>
        </row>
        <row r="135">
          <cell r="C135" t="e">
            <v>#REF!</v>
          </cell>
          <cell r="E135" t="str">
            <v>       50 %</v>
          </cell>
          <cell r="H135" t="str">
            <v>v2</v>
          </cell>
          <cell r="I135">
            <v>21782.8125</v>
          </cell>
        </row>
        <row r="136">
          <cell r="C136" t="e">
            <v>#REF!</v>
          </cell>
          <cell r="E136" t="str">
            <v>       67 %</v>
          </cell>
          <cell r="H136" t="str">
            <v>p(vx)</v>
          </cell>
          <cell r="I136">
            <v>24581.885000000002</v>
          </cell>
        </row>
        <row r="137">
          <cell r="C137" t="e">
            <v>#REF!</v>
          </cell>
          <cell r="E137" t="str">
            <v>       83 %</v>
          </cell>
          <cell r="I137">
            <v>156.78611226763678</v>
          </cell>
        </row>
        <row r="138">
          <cell r="H138" t="str">
            <v/>
          </cell>
          <cell r="I138" t="e">
            <v>#REF!</v>
          </cell>
          <cell r="J138" t="e">
            <v>#REF!</v>
          </cell>
        </row>
        <row r="139">
          <cell r="E139" t="str">
            <v>- End of Budget -</v>
          </cell>
          <cell r="I139" t="e">
            <v>#REF!</v>
          </cell>
          <cell r="J139" t="e">
            <v>#REF!</v>
          </cell>
        </row>
        <row r="140">
          <cell r="A140" t="str">
            <v>=</v>
          </cell>
          <cell r="B140" t="str">
            <v>=</v>
          </cell>
          <cell r="C140" t="str">
            <v>=</v>
          </cell>
          <cell r="D140" t="str">
            <v>=</v>
          </cell>
          <cell r="E140" t="str">
            <v>=</v>
          </cell>
          <cell r="F140" t="str">
            <v>=</v>
          </cell>
          <cell r="G140" t="str">
            <v>=</v>
          </cell>
          <cell r="H140" t="str">
            <v>=</v>
          </cell>
          <cell r="I140" t="e">
            <v>#REF!</v>
          </cell>
          <cell r="J140" t="e">
            <v>#REF!</v>
          </cell>
        </row>
        <row r="141">
          <cell r="I141" t="e">
            <v>#REF!</v>
          </cell>
          <cell r="J141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HEIFER"/>
    </sheetNames>
    <sheetDataSet>
      <sheetData sheetId="0">
        <row r="1">
          <cell r="A1" t="str">
            <v>Dheifer 1</v>
          </cell>
          <cell r="C1" t="str">
            <v>DAIRY HEIFER BUDGET</v>
          </cell>
          <cell r="G1" t="str">
            <v>Revised: May '98</v>
          </cell>
        </row>
        <row r="2">
          <cell r="A2">
            <v>2</v>
          </cell>
          <cell r="F2" t="str">
            <v>Profit Per Heifer:</v>
          </cell>
          <cell r="H2">
            <v>88.04531616747907</v>
          </cell>
        </row>
        <row r="3">
          <cell r="A3" t="str">
            <v>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</row>
        <row r="4">
          <cell r="A4" t="str">
            <v>This budget is designed to analyze an operation with continuous dairy</v>
          </cell>
        </row>
        <row r="5">
          <cell r="A5" t="str">
            <v>heifer production.  All heifer purchases must be made at the beginning</v>
          </cell>
        </row>
        <row r="6">
          <cell r="A6" t="str">
            <v>of a production stage and all heifer sales must occur at the end of a</v>
          </cell>
        </row>
        <row r="7">
          <cell r="A7" t="str">
            <v>production stage.  Heifers are not kept in the operation after the </v>
          </cell>
        </row>
        <row r="8">
          <cell r="A8" t="str">
            <v>last month of the final stage.  Stages have to be less than or equal</v>
          </cell>
        </row>
        <row r="9">
          <cell r="A9" t="str">
            <v>to 12 months.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2">
          <cell r="A12" t="str">
            <v>Expected</v>
          </cell>
          <cell r="D12" t="str">
            <v>Stage 1</v>
          </cell>
          <cell r="F12" t="str">
            <v>Stage 2</v>
          </cell>
          <cell r="H12" t="str">
            <v>Stage 3</v>
          </cell>
        </row>
        <row r="13">
          <cell r="A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A14" t="str">
            <v># Purchased per month</v>
          </cell>
          <cell r="D14">
            <v>0</v>
          </cell>
          <cell r="F14">
            <v>3</v>
          </cell>
          <cell r="H14">
            <v>0</v>
          </cell>
          <cell r="K14">
            <v>0</v>
          </cell>
        </row>
        <row r="15">
          <cell r="A15" t="str">
            <v>Monthly Transfer in</v>
          </cell>
          <cell r="D15">
            <v>10</v>
          </cell>
          <cell r="F15">
            <v>9.8</v>
          </cell>
          <cell r="H15">
            <v>10.0352</v>
          </cell>
          <cell r="K15">
            <v>125964.074565677</v>
          </cell>
        </row>
        <row r="16">
          <cell r="A16" t="str">
            <v>Total Entering Stage</v>
          </cell>
          <cell r="D16">
            <v>10</v>
          </cell>
          <cell r="F16">
            <v>12.8</v>
          </cell>
          <cell r="H16">
            <v>10.0352</v>
          </cell>
          <cell r="K16">
            <v>6691.448063999998</v>
          </cell>
        </row>
        <row r="17">
          <cell r="A17" t="str">
            <v>Beginning Value ($/head)</v>
          </cell>
          <cell r="D17">
            <v>125</v>
          </cell>
          <cell r="F17">
            <v>450</v>
          </cell>
          <cell r="H17">
            <v>900</v>
          </cell>
          <cell r="K17">
            <v>156910.3872</v>
          </cell>
        </row>
        <row r="18">
          <cell r="A18" t="str">
            <v>Beginning Age (months)</v>
          </cell>
          <cell r="D18">
            <v>0</v>
          </cell>
          <cell r="F18">
            <v>8</v>
          </cell>
          <cell r="H18">
            <v>17</v>
          </cell>
          <cell r="K18">
            <v>19919.58406197647</v>
          </cell>
        </row>
        <row r="19">
          <cell r="A19" t="str">
            <v>Ending Value ($/head)</v>
          </cell>
          <cell r="D19">
            <v>450</v>
          </cell>
          <cell r="F19">
            <v>900</v>
          </cell>
          <cell r="H19">
            <v>1100</v>
          </cell>
        </row>
        <row r="20">
          <cell r="A20" t="str">
            <v>Ending Age (months)</v>
          </cell>
          <cell r="D20">
            <v>7</v>
          </cell>
          <cell r="F20">
            <v>16</v>
          </cell>
          <cell r="H20">
            <v>24</v>
          </cell>
          <cell r="K20" t="str">
            <v>Tran!D3..G14</v>
          </cell>
        </row>
        <row r="21">
          <cell r="A21" t="str">
            <v>% Death Loss</v>
          </cell>
          <cell r="D21">
            <v>2</v>
          </cell>
          <cell r="F21">
            <v>2</v>
          </cell>
          <cell r="H21">
            <v>2</v>
          </cell>
          <cell r="K21" t="str">
            <v>Allo!C3..J14</v>
          </cell>
        </row>
        <row r="22">
          <cell r="A22" t="str">
            <v>% Sold at End of Stage</v>
          </cell>
          <cell r="D22">
            <v>0</v>
          </cell>
          <cell r="F22">
            <v>20</v>
          </cell>
          <cell r="H22">
            <v>100</v>
          </cell>
          <cell r="K22">
            <v>275.48159999999996</v>
          </cell>
        </row>
        <row r="23">
          <cell r="A23" t="str">
            <v># of Cattle in Stage</v>
          </cell>
          <cell r="D23">
            <v>80</v>
          </cell>
          <cell r="F23">
            <v>115.2</v>
          </cell>
          <cell r="H23">
            <v>80.2816</v>
          </cell>
          <cell r="K23">
            <v>15938.578285714282</v>
          </cell>
        </row>
        <row r="24">
          <cell r="K24">
            <v>93082.85367437641</v>
          </cell>
        </row>
        <row r="25">
          <cell r="A25" t="str">
            <v>Total # of Cattle on Farm</v>
          </cell>
          <cell r="D25">
            <v>275.48159999999996</v>
          </cell>
          <cell r="K25">
            <v>2611.172022857142</v>
          </cell>
        </row>
        <row r="26">
          <cell r="A26" t="str">
            <v>% Crop Transfers by Stage</v>
          </cell>
          <cell r="D26">
            <v>20</v>
          </cell>
          <cell r="F26">
            <v>34</v>
          </cell>
          <cell r="H26">
            <v>46</v>
          </cell>
          <cell r="K26">
            <v>761.5098514285713</v>
          </cell>
        </row>
        <row r="27">
          <cell r="K27">
            <v>375.8356114285714</v>
          </cell>
        </row>
        <row r="28">
          <cell r="A28" t="str">
            <v>Risk Ratings for all Stages</v>
          </cell>
          <cell r="K28">
            <v>66.90267428571427</v>
          </cell>
        </row>
        <row r="29">
          <cell r="A29" t="str">
            <v>2/3 chance of Death Loss  within + or -</v>
          </cell>
          <cell r="F29">
            <v>20</v>
          </cell>
          <cell r="G29" t="str">
            <v>%  of Expected</v>
          </cell>
        </row>
        <row r="30">
          <cell r="A30" t="str">
            <v>2/3 chance of Heifer Prices  within + or -</v>
          </cell>
          <cell r="F30">
            <v>5</v>
          </cell>
          <cell r="G30" t="str">
            <v>%  of Expected</v>
          </cell>
        </row>
        <row r="31">
          <cell r="A31" t="str">
            <v>2/3 chance of Sale Price  within + or -</v>
          </cell>
          <cell r="F31">
            <v>15</v>
          </cell>
          <cell r="G31" t="str">
            <v>%  of Expected</v>
          </cell>
        </row>
        <row r="32">
          <cell r="A32" t="str">
            <v>=</v>
          </cell>
          <cell r="B32" t="str">
            <v>=</v>
          </cell>
          <cell r="C32" t="str">
            <v>=</v>
          </cell>
          <cell r="D32" t="str">
            <v>=</v>
          </cell>
          <cell r="E32" t="str">
            <v>=</v>
          </cell>
          <cell r="F32" t="str">
            <v>=</v>
          </cell>
          <cell r="G32" t="str">
            <v>=</v>
          </cell>
          <cell r="H32" t="str">
            <v>=</v>
          </cell>
        </row>
        <row r="34">
          <cell r="A34" t="str">
            <v>EXPENSES</v>
          </cell>
        </row>
        <row r="35">
          <cell r="A35" t="str">
            <v>-</v>
          </cell>
        </row>
        <row r="36">
          <cell r="A36" t="str">
            <v> Variable Expenses:</v>
          </cell>
        </row>
        <row r="37">
          <cell r="D37" t="str">
            <v> |---- lbs/day/hd ----</v>
          </cell>
          <cell r="F37" t="str">
            <v>------|</v>
          </cell>
          <cell r="G37" t="str">
            <v>Avg. Feed</v>
          </cell>
        </row>
        <row r="38">
          <cell r="A38" t="str">
            <v>Purchased Feed:</v>
          </cell>
          <cell r="C38" t="str">
            <v>$/Tonne</v>
          </cell>
          <cell r="D38" t="str">
            <v>Stage 1</v>
          </cell>
          <cell r="E38" t="str">
            <v>Stage 2</v>
          </cell>
          <cell r="F38" t="str">
            <v>Stage 3</v>
          </cell>
          <cell r="G38" t="str">
            <v>lbs/Hd</v>
          </cell>
          <cell r="H38" t="str">
            <v>$/Year</v>
          </cell>
        </row>
        <row r="39"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</row>
        <row r="40">
          <cell r="A40" t="str">
            <v> Grain #1</v>
          </cell>
          <cell r="B40" t="str">
            <v>  Corn</v>
          </cell>
          <cell r="C40">
            <v>116</v>
          </cell>
          <cell r="D40">
            <v>2</v>
          </cell>
          <cell r="E40">
            <v>8</v>
          </cell>
          <cell r="F40">
            <v>19</v>
          </cell>
          <cell r="G40">
            <v>3454.08512220054</v>
          </cell>
          <cell r="H40">
            <v>50058.17684172336</v>
          </cell>
          <cell r="I40">
            <v>0</v>
          </cell>
          <cell r="J40">
            <v>38.690000000000005</v>
          </cell>
          <cell r="K40">
            <v>93044.16367437641</v>
          </cell>
        </row>
        <row r="41">
          <cell r="A41" t="str">
            <v>       #2</v>
          </cell>
          <cell r="B41" t="str">
            <v>  Barley</v>
          </cell>
          <cell r="C41">
            <v>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       #3</v>
          </cell>
          <cell r="B42" t="str">
            <v>  Suppl.</v>
          </cell>
          <cell r="C42">
            <v>275</v>
          </cell>
          <cell r="D42">
            <v>1.5</v>
          </cell>
          <cell r="E42">
            <v>1.5</v>
          </cell>
          <cell r="F42">
            <v>1.5</v>
          </cell>
          <cell r="G42">
            <v>547.5000000000001</v>
          </cell>
          <cell r="H42">
            <v>18810.52081632653</v>
          </cell>
        </row>
        <row r="43">
          <cell r="A43" t="str">
            <v> Forage#1</v>
          </cell>
          <cell r="B43" t="str">
            <v>  Silage</v>
          </cell>
          <cell r="C43">
            <v>18</v>
          </cell>
          <cell r="D43">
            <v>36</v>
          </cell>
          <cell r="E43">
            <v>33</v>
          </cell>
          <cell r="F43">
            <v>18</v>
          </cell>
          <cell r="G43">
            <v>10767.449121828828</v>
          </cell>
          <cell r="H43">
            <v>24214.15601632653</v>
          </cell>
        </row>
        <row r="44">
          <cell r="A44" t="str">
            <v>       #2</v>
          </cell>
          <cell r="B44" t="str">
            <v>  Haylage</v>
          </cell>
          <cell r="C44">
            <v>20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#3</v>
          </cell>
          <cell r="B45" t="str">
            <v>  Hay</v>
          </cell>
          <cell r="C45">
            <v>55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Other -</v>
          </cell>
          <cell r="B46" t="str">
            <v>  Mineral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52">
          <cell r="A52" t="str">
            <v>Homegrown Feed: *</v>
          </cell>
        </row>
        <row r="53">
          <cell r="A53" t="str">
            <v> Crop Transfers (based on </v>
          </cell>
          <cell r="D53">
            <v>280</v>
          </cell>
          <cell r="E53" t="str">
            <v>head)</v>
          </cell>
          <cell r="G53">
            <v>0</v>
          </cell>
          <cell r="H53">
            <v>0</v>
          </cell>
        </row>
        <row r="54">
          <cell r="B54" t="str">
            <v>(from transfer table)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</row>
        <row r="56">
          <cell r="D56" t="str">
            <v> |------- lbs/day/hd ----|</v>
          </cell>
          <cell r="G56" t="str">
            <v>Tot. Feed</v>
          </cell>
        </row>
        <row r="57">
          <cell r="A57" t="str">
            <v>   - or -</v>
          </cell>
          <cell r="C57" t="str">
            <v>$/Tonne</v>
          </cell>
          <cell r="D57" t="str">
            <v>Stage 1</v>
          </cell>
          <cell r="E57" t="str">
            <v>Stage 2</v>
          </cell>
          <cell r="F57" t="str">
            <v>Stage 3</v>
          </cell>
          <cell r="G57" t="str">
            <v>lbs/Hd</v>
          </cell>
          <cell r="H57" t="str">
            <v>$/Year</v>
          </cell>
        </row>
        <row r="58"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</row>
        <row r="59">
          <cell r="B59" t="str">
            <v>*** (Input ONLY if NOT using Crop Transfer table) ***</v>
          </cell>
        </row>
        <row r="60">
          <cell r="A60" t="str">
            <v> Grain #1</v>
          </cell>
          <cell r="B60" t="str">
            <v>  Corn</v>
          </cell>
          <cell r="C60">
            <v>100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       #2</v>
          </cell>
          <cell r="B61" t="str">
            <v>  Barley</v>
          </cell>
          <cell r="C61">
            <v>100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       #3</v>
          </cell>
          <cell r="B62" t="str">
            <v>  Suppl.</v>
          </cell>
          <cell r="C62">
            <v>290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 Forage#1</v>
          </cell>
          <cell r="B63" t="str">
            <v>  Silage</v>
          </cell>
          <cell r="C63">
            <v>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 Haylage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       #3</v>
          </cell>
          <cell r="B65" t="str">
            <v>  Hay</v>
          </cell>
          <cell r="C65">
            <v>55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Feed Quantity</v>
          </cell>
          <cell r="D66">
            <v>39.5</v>
          </cell>
          <cell r="E66">
            <v>42.5</v>
          </cell>
          <cell r="F66">
            <v>38.5</v>
          </cell>
          <cell r="G66">
            <v>14769.034244029368</v>
          </cell>
        </row>
        <row r="68">
          <cell r="A68" t="str">
            <v>Total Feed Cost</v>
          </cell>
          <cell r="D68">
            <v>0.5862741540415495</v>
          </cell>
          <cell r="E68">
            <v>0.8774834437086093</v>
          </cell>
          <cell r="F68">
            <v>1.3338020502585504</v>
          </cell>
          <cell r="H68">
            <v>93082.85367437641</v>
          </cell>
        </row>
        <row r="70">
          <cell r="A70" t="str">
            <v>Number of Head to Base Following Variable Costs on ==&gt; **</v>
          </cell>
          <cell r="H70">
            <v>280</v>
          </cell>
        </row>
        <row r="72">
          <cell r="A72" t="str">
            <v>Variable cost (excluding feed) &amp; Fixed costs allocated to each Stage </v>
          </cell>
        </row>
        <row r="73">
          <cell r="D73" t="str">
            <v>Stage 1</v>
          </cell>
          <cell r="F73" t="str">
            <v>Stage 2</v>
          </cell>
          <cell r="H73" t="str">
            <v>Stage 3</v>
          </cell>
        </row>
        <row r="74">
          <cell r="A74" t="str">
            <v>   Percent Allocated</v>
          </cell>
          <cell r="D74">
            <v>20</v>
          </cell>
          <cell r="F74">
            <v>35</v>
          </cell>
          <cell r="H74">
            <v>45</v>
          </cell>
        </row>
        <row r="76">
          <cell r="A76" t="str">
            <v>   ** (You MUST enter here, the herd size you used to</v>
          </cell>
        </row>
        <row r="77">
          <cell r="A77" t="str">
            <v>       determine your variable costs!!)</v>
          </cell>
        </row>
        <row r="79">
          <cell r="E79" t="str">
            <v>Typical</v>
          </cell>
          <cell r="F79" t="str">
            <v>$/Year</v>
          </cell>
          <cell r="H79" t="str">
            <v>$/Year</v>
          </cell>
        </row>
        <row r="80">
          <cell r="E80" t="str">
            <v>$/Heifer</v>
          </cell>
          <cell r="F80" t="str">
            <v>280 Head</v>
          </cell>
          <cell r="G80" t="str">
            <v>$/Head</v>
          </cell>
          <cell r="H80" t="str">
            <v> 275 Head</v>
          </cell>
        </row>
        <row r="81"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</row>
        <row r="82">
          <cell r="A82" t="str">
            <v> Hired Labour</v>
          </cell>
          <cell r="E82">
            <v>0.74</v>
          </cell>
          <cell r="F82">
            <v>74</v>
          </cell>
          <cell r="G82">
            <v>0.2642857142857143</v>
          </cell>
          <cell r="H82">
            <v>72.80585142857142</v>
          </cell>
        </row>
        <row r="83">
          <cell r="A83" t="str">
            <v> Insurance on Livestock</v>
          </cell>
          <cell r="E83">
            <v>3</v>
          </cell>
          <cell r="F83">
            <v>300</v>
          </cell>
          <cell r="G83">
            <v>1.0714285714285714</v>
          </cell>
          <cell r="H83">
            <v>295.1588571428571</v>
          </cell>
        </row>
        <row r="84">
          <cell r="A84" t="str">
            <v> Vet, Medicine</v>
          </cell>
          <cell r="E84">
            <v>2.54</v>
          </cell>
          <cell r="F84">
            <v>254</v>
          </cell>
          <cell r="G84">
            <v>0.9071428571428571</v>
          </cell>
          <cell r="H84">
            <v>249.90116571428567</v>
          </cell>
        </row>
        <row r="85">
          <cell r="A85" t="str">
            <v> Breeding Fees</v>
          </cell>
          <cell r="E85">
            <v>24</v>
          </cell>
          <cell r="F85">
            <v>2400</v>
          </cell>
          <cell r="G85">
            <v>8.571428571428571</v>
          </cell>
          <cell r="H85">
            <v>2361.2708571428566</v>
          </cell>
        </row>
        <row r="86">
          <cell r="A86" t="str">
            <v> Marketing Fees</v>
          </cell>
          <cell r="E86">
            <v>2</v>
          </cell>
          <cell r="F86">
            <v>200</v>
          </cell>
          <cell r="G86">
            <v>0.7142857142857143</v>
          </cell>
          <cell r="H86">
            <v>196.7725714285714</v>
          </cell>
        </row>
        <row r="87">
          <cell r="A87" t="str">
            <v> Trucking</v>
          </cell>
          <cell r="E87">
            <v>1.82</v>
          </cell>
          <cell r="F87">
            <v>182</v>
          </cell>
          <cell r="G87">
            <v>0.65</v>
          </cell>
          <cell r="H87">
            <v>179.06303999999997</v>
          </cell>
        </row>
        <row r="88">
          <cell r="A88" t="str">
            <v> Bedding</v>
          </cell>
          <cell r="E88">
            <v>2</v>
          </cell>
          <cell r="F88">
            <v>200</v>
          </cell>
          <cell r="G88">
            <v>0.7142857142857143</v>
          </cell>
          <cell r="H88">
            <v>196.7725714285714</v>
          </cell>
        </row>
        <row r="89">
          <cell r="A89" t="str">
            <v> Custom Work</v>
          </cell>
          <cell r="E89">
            <v>0.48</v>
          </cell>
          <cell r="F89">
            <v>48</v>
          </cell>
          <cell r="G89">
            <v>0.17142857142857143</v>
          </cell>
          <cell r="H89">
            <v>47.22541714285713</v>
          </cell>
          <cell r="K89" t="str">
            <v>Wfarm!L4</v>
          </cell>
        </row>
        <row r="90">
          <cell r="A90" t="str">
            <v> Equipment Rentals</v>
          </cell>
          <cell r="E90">
            <v>0.2</v>
          </cell>
          <cell r="F90">
            <v>20</v>
          </cell>
          <cell r="G90">
            <v>0.07142857142857142</v>
          </cell>
          <cell r="H90">
            <v>19.67725714285714</v>
          </cell>
          <cell r="K90" t="str">
            <v>Wfarm!L5</v>
          </cell>
        </row>
        <row r="91">
          <cell r="A91" t="str">
            <v> Other</v>
          </cell>
          <cell r="E91">
            <v>2</v>
          </cell>
          <cell r="F91">
            <v>200</v>
          </cell>
          <cell r="G91">
            <v>0.7142857142857143</v>
          </cell>
          <cell r="H91">
            <v>196.7725714285714</v>
          </cell>
          <cell r="K91" t="str">
            <v>Wfarm!L6</v>
          </cell>
        </row>
        <row r="92">
          <cell r="A92" t="str">
            <v> Expected Cost of Heifers</v>
          </cell>
          <cell r="F92">
            <v>16200</v>
          </cell>
          <cell r="G92">
            <v>57.857142857142854</v>
          </cell>
          <cell r="H92">
            <v>15938.578285714282</v>
          </cell>
          <cell r="K92" t="str">
            <v>Wfarm!L7</v>
          </cell>
        </row>
        <row r="93">
          <cell r="K93" t="str">
            <v>Wfarm!L8</v>
          </cell>
        </row>
        <row r="95">
          <cell r="I95">
            <v>8045.6064</v>
          </cell>
        </row>
        <row r="96">
          <cell r="I96">
            <v>2957.721197586321</v>
          </cell>
          <cell r="K96" t="str">
            <v>Wfarm!L9</v>
          </cell>
        </row>
        <row r="101">
          <cell r="D101" t="str">
            <v>Typical</v>
          </cell>
          <cell r="E101" t="str">
            <v> Enterprise</v>
          </cell>
          <cell r="G101" t="str">
            <v> $/Heifer</v>
          </cell>
          <cell r="H101" t="str">
            <v>$/Year</v>
          </cell>
        </row>
        <row r="102">
          <cell r="D102" t="str">
            <v> $/Heifer</v>
          </cell>
          <cell r="E102" t="str">
            <v> $ Allocated</v>
          </cell>
          <cell r="G102" t="str">
            <v>Purchased</v>
          </cell>
          <cell r="H102" t="str">
            <v> 275 Head</v>
          </cell>
        </row>
        <row r="103">
          <cell r="D103" t="str">
            <v>-</v>
          </cell>
          <cell r="E103" t="str">
            <v>-</v>
          </cell>
          <cell r="F103" t="str">
            <v>---</v>
          </cell>
          <cell r="G103" t="str">
            <v>-</v>
          </cell>
          <cell r="H103" t="str">
            <v>-</v>
          </cell>
        </row>
        <row r="104">
          <cell r="A104" t="str">
            <v> Fuel</v>
          </cell>
          <cell r="D104">
            <v>0.44</v>
          </cell>
          <cell r="E104">
            <v>0</v>
          </cell>
          <cell r="G104">
            <v>0.44</v>
          </cell>
          <cell r="H104">
            <v>121.21190399999998</v>
          </cell>
        </row>
        <row r="105">
          <cell r="A105" t="str">
            <v> Mach. Repair &amp; Maint.</v>
          </cell>
          <cell r="D105">
            <v>2.91</v>
          </cell>
          <cell r="E105">
            <v>0</v>
          </cell>
          <cell r="G105">
            <v>2.91</v>
          </cell>
          <cell r="H105">
            <v>801.6514559999999</v>
          </cell>
          <cell r="K105" t="str">
            <v>Wfarm!K4</v>
          </cell>
        </row>
        <row r="106">
          <cell r="A106" t="str">
            <v> Bldg. Repair &amp; Maint.</v>
          </cell>
          <cell r="D106">
            <v>1.17</v>
          </cell>
          <cell r="E106">
            <v>0</v>
          </cell>
          <cell r="G106">
            <v>1.17</v>
          </cell>
          <cell r="H106">
            <v>322.31347199999993</v>
          </cell>
          <cell r="K106" t="str">
            <v>Wfarm!K5</v>
          </cell>
        </row>
        <row r="107">
          <cell r="A107" t="str">
            <v> Rent and Labour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K107" t="str">
            <v>Wfarm!K6</v>
          </cell>
        </row>
        <row r="108">
          <cell r="A108" t="str">
            <v> General Variable Costs</v>
          </cell>
          <cell r="D108">
            <v>2.01</v>
          </cell>
          <cell r="E108">
            <v>0</v>
          </cell>
          <cell r="G108">
            <v>2.01</v>
          </cell>
          <cell r="H108">
            <v>553.7180159999998</v>
          </cell>
          <cell r="K108" t="str">
            <v>Wfarm!K7</v>
          </cell>
        </row>
        <row r="109">
          <cell r="A109" t="str">
            <v> Interest on </v>
          </cell>
          <cell r="D109" t="str">
            <v>% int</v>
          </cell>
        </row>
        <row r="110">
          <cell r="A110" t="str">
            <v> Operating Capital</v>
          </cell>
          <cell r="D110">
            <v>6</v>
          </cell>
          <cell r="E110">
            <v>0</v>
          </cell>
          <cell r="G110">
            <v>39.942150755572506</v>
          </cell>
          <cell r="H110">
            <v>11003.327597586322</v>
          </cell>
          <cell r="I110">
            <v>0</v>
          </cell>
        </row>
        <row r="111">
          <cell r="A111" t="str">
            <v>Total Variable Costs</v>
          </cell>
          <cell r="G111">
            <v>457.2504100661424</v>
          </cell>
          <cell r="H111">
            <v>125964.074565677</v>
          </cell>
          <cell r="I111">
            <v>27095.04</v>
          </cell>
        </row>
        <row r="112">
          <cell r="I112">
            <v>129815.34719999999</v>
          </cell>
        </row>
        <row r="113">
          <cell r="D113" t="str">
            <v>Typical</v>
          </cell>
          <cell r="E113" t="str">
            <v> Enterprise</v>
          </cell>
          <cell r="G113" t="str">
            <v> $/Heifer</v>
          </cell>
          <cell r="H113" t="str">
            <v>$/Year</v>
          </cell>
        </row>
        <row r="114">
          <cell r="A114" t="str">
            <v>Fixed Costs:</v>
          </cell>
          <cell r="D114" t="str">
            <v> $/Heifer</v>
          </cell>
          <cell r="E114" t="str">
            <v> $ Allocated</v>
          </cell>
          <cell r="G114" t="str">
            <v>Purchased</v>
          </cell>
          <cell r="H114" t="str">
            <v> 275 Head</v>
          </cell>
        </row>
        <row r="115">
          <cell r="D115" t="str">
            <v>-</v>
          </cell>
          <cell r="E115" t="str">
            <v>-</v>
          </cell>
          <cell r="F115" t="str">
            <v>---</v>
          </cell>
          <cell r="G115" t="str">
            <v>-</v>
          </cell>
          <cell r="H115" t="str">
            <v>-</v>
          </cell>
        </row>
        <row r="116">
          <cell r="A116" t="str">
            <v> Depreciation</v>
          </cell>
          <cell r="D116">
            <v>12.52</v>
          </cell>
          <cell r="E116">
            <v>0</v>
          </cell>
          <cell r="G116">
            <v>12.52</v>
          </cell>
          <cell r="H116">
            <v>3449.0296319999993</v>
          </cell>
        </row>
        <row r="117">
          <cell r="A117" t="str">
            <v> Interest on Term Loans</v>
          </cell>
          <cell r="D117">
            <v>3.57</v>
          </cell>
          <cell r="E117">
            <v>0</v>
          </cell>
          <cell r="G117">
            <v>3.57</v>
          </cell>
          <cell r="H117">
            <v>983.4693119999998</v>
          </cell>
        </row>
        <row r="118">
          <cell r="A118" t="str">
            <v> Long-term Leases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</row>
        <row r="119">
          <cell r="A119" t="str">
            <v> General Fixed Costs</v>
          </cell>
          <cell r="D119">
            <v>8.2</v>
          </cell>
          <cell r="E119">
            <v>0</v>
          </cell>
          <cell r="G119">
            <v>8.2</v>
          </cell>
          <cell r="H119">
            <v>2258.9491199999993</v>
          </cell>
        </row>
        <row r="120">
          <cell r="A120" t="str">
            <v>Total Fixed Costs</v>
          </cell>
          <cell r="G120">
            <v>24.29</v>
          </cell>
          <cell r="H120">
            <v>6691.448063999998</v>
          </cell>
          <cell r="I120">
            <v>0</v>
          </cell>
        </row>
        <row r="121">
          <cell r="I121">
            <v>30.1056</v>
          </cell>
        </row>
        <row r="122">
          <cell r="A122" t="str">
            <v>Revenues:</v>
          </cell>
          <cell r="E122" t="str">
            <v>$/Heifer</v>
          </cell>
          <cell r="F122" t="str">
            <v>$/Year</v>
          </cell>
          <cell r="I122">
            <v>118.01395199999999</v>
          </cell>
        </row>
        <row r="123">
          <cell r="E123" t="str">
            <v>-</v>
          </cell>
          <cell r="F123" t="str">
            <v>-</v>
          </cell>
        </row>
        <row r="124">
          <cell r="A124" t="str">
            <v>Total Expected Revenues</v>
          </cell>
          <cell r="E124">
            <v>569.5857262336215</v>
          </cell>
          <cell r="F124">
            <v>156910.3872</v>
          </cell>
          <cell r="I124">
            <v>0</v>
          </cell>
          <cell r="J124" t="str">
            <v>sumother</v>
          </cell>
          <cell r="K124">
            <v>13445.66875415775</v>
          </cell>
        </row>
        <row r="125">
          <cell r="A125" t="str">
            <v>    less: Variable Costs</v>
          </cell>
          <cell r="E125">
            <v>457.2504100661424</v>
          </cell>
          <cell r="F125">
            <v>125964.074565677</v>
          </cell>
          <cell r="I125">
            <v>27095.04</v>
          </cell>
          <cell r="J125" t="str">
            <v>vcost1</v>
          </cell>
          <cell r="K125">
            <v>19076.353499402976</v>
          </cell>
        </row>
        <row r="126">
          <cell r="A126" t="str">
            <v>Expected Operating Margin</v>
          </cell>
          <cell r="E126">
            <v>112.33531616747906</v>
          </cell>
          <cell r="F126">
            <v>30946.312634322996</v>
          </cell>
          <cell r="I126">
            <v>129815.34719999999</v>
          </cell>
          <cell r="J126" t="str">
            <v>vcost2</v>
          </cell>
          <cell r="K126">
            <v>4744.674063955212</v>
          </cell>
        </row>
        <row r="127">
          <cell r="A127" t="str">
            <v>    less: Fixed Costs</v>
          </cell>
          <cell r="E127">
            <v>24.29</v>
          </cell>
          <cell r="F127">
            <v>6691.448063999998</v>
          </cell>
          <cell r="I127">
            <v>410176.91980431357</v>
          </cell>
          <cell r="J127" t="str">
            <v>vcost3</v>
          </cell>
          <cell r="K127">
            <v>99094.7146137474</v>
          </cell>
        </row>
        <row r="128">
          <cell r="A128" t="str">
            <v>Expected Net Revenue</v>
          </cell>
          <cell r="E128">
            <v>88.04531616747907</v>
          </cell>
          <cell r="F128">
            <v>24254.864570323</v>
          </cell>
          <cell r="I128">
            <v>410176.91980431357</v>
          </cell>
        </row>
        <row r="129">
          <cell r="I129">
            <v>280750.09360527364</v>
          </cell>
        </row>
        <row r="130">
          <cell r="A130" t="str">
            <v>Break-even dollars/head</v>
          </cell>
          <cell r="D130" t="str">
            <v>Needed to Cover:</v>
          </cell>
          <cell r="F130" t="str">
            <v>Variable Costs</v>
          </cell>
          <cell r="G130" t="str">
            <v>Total</v>
          </cell>
          <cell r="I130">
            <v>0.140625</v>
          </cell>
        </row>
        <row r="131">
          <cell r="F131" t="str">
            <v>Costs</v>
          </cell>
          <cell r="G131" t="str">
            <v>Costs</v>
          </cell>
          <cell r="I131">
            <v>395688725.12830824</v>
          </cell>
        </row>
        <row r="132">
          <cell r="F132" t="str">
            <v>-</v>
          </cell>
          <cell r="G132" t="str">
            <v>-</v>
          </cell>
        </row>
        <row r="133">
          <cell r="D133" t="str">
            <v>     Stage 1</v>
          </cell>
          <cell r="F133">
            <v>156.950958719154</v>
          </cell>
          <cell r="G133">
            <v>205.74276751915397</v>
          </cell>
          <cell r="I133">
            <v>19919.58406197647</v>
          </cell>
          <cell r="J133" t="str">
            <v>$/Hd</v>
          </cell>
          <cell r="K133">
            <v>673.7462380645278</v>
          </cell>
        </row>
        <row r="134">
          <cell r="D134" t="str">
            <v>     Stage 2</v>
          </cell>
          <cell r="F134">
            <v>501.3638394306146</v>
          </cell>
          <cell r="G134">
            <v>540.0874972083924</v>
          </cell>
          <cell r="I134">
            <v>553.3217794993465</v>
          </cell>
          <cell r="J134" t="str">
            <v>BEcatpur</v>
          </cell>
        </row>
        <row r="135">
          <cell r="D135" t="str">
            <v>     Stage 3</v>
          </cell>
          <cell r="F135">
            <v>984.4231217175831</v>
          </cell>
          <cell r="G135">
            <v>1033.043785780083</v>
          </cell>
        </row>
        <row r="136">
          <cell r="A136" t="str">
            <v>=</v>
          </cell>
          <cell r="B136" t="str">
            <v>=</v>
          </cell>
          <cell r="C136" t="str">
            <v>=</v>
          </cell>
          <cell r="D136" t="str">
            <v>=</v>
          </cell>
          <cell r="E136" t="str">
            <v>=</v>
          </cell>
          <cell r="F136" t="str">
            <v>=</v>
          </cell>
          <cell r="G136" t="str">
            <v>=</v>
          </cell>
          <cell r="H136" t="str">
            <v>=</v>
          </cell>
          <cell r="J136" t="str">
            <v> +profit</v>
          </cell>
          <cell r="K136" t="str">
            <v> ¬ price</v>
          </cell>
        </row>
        <row r="137">
          <cell r="B137" t="str">
            <v>Chance of at least breaking even       ==&gt;</v>
          </cell>
          <cell r="G137">
            <v>0.8883193635552</v>
          </cell>
        </row>
        <row r="138">
          <cell r="B138" t="str">
            <v>Chance of at least</v>
          </cell>
          <cell r="D138">
            <v>110</v>
          </cell>
          <cell r="E138" t="str">
            <v>$/hd return ==&gt;</v>
          </cell>
          <cell r="G138">
            <v>0.8458604676078734</v>
          </cell>
          <cell r="I138">
            <v>1.2176391080686235</v>
          </cell>
          <cell r="J138">
            <v>1.0188397763316195</v>
          </cell>
          <cell r="K138">
            <v>1.2176391080686235</v>
          </cell>
        </row>
        <row r="139">
          <cell r="B139" t="str">
            <v>Coefficient of variation               ==&gt;</v>
          </cell>
          <cell r="G139">
            <v>0.9714460071852219</v>
          </cell>
          <cell r="I139">
            <v>0.7799969857205943</v>
          </cell>
          <cell r="J139">
            <v>0.8090575732632121</v>
          </cell>
          <cell r="K139">
            <v>0.7799969857205943</v>
          </cell>
        </row>
        <row r="140">
          <cell r="I140">
            <v>0.19008935451451905</v>
          </cell>
          <cell r="J140">
            <v>0.23741258732550044</v>
          </cell>
          <cell r="K140">
            <v>0.19008935451451905</v>
          </cell>
        </row>
        <row r="141">
          <cell r="C141" t="str">
            <v>Returns: $ per</v>
          </cell>
          <cell r="E141" t="str">
            <v>Chances of at least</v>
          </cell>
          <cell r="I141">
            <v>0.11168063644479999</v>
          </cell>
          <cell r="J141">
            <v>0.15413953239212663</v>
          </cell>
          <cell r="K141">
            <v>0.11168063644479999</v>
          </cell>
        </row>
        <row r="142">
          <cell r="C142" t="str">
            <v>heifer purchased</v>
          </cell>
          <cell r="E142" t="str">
            <v>this return per head</v>
          </cell>
        </row>
        <row r="144">
          <cell r="C144">
            <v>1210.4683641788938</v>
          </cell>
          <cell r="E144" t="str">
            <v>       17 %</v>
          </cell>
        </row>
        <row r="145">
          <cell r="C145">
            <v>911.6746032492467</v>
          </cell>
          <cell r="E145" t="str">
            <v>       33 %</v>
          </cell>
        </row>
        <row r="146">
          <cell r="C146">
            <v>673.7462380645278</v>
          </cell>
          <cell r="E146" t="str">
            <v>       50 %</v>
          </cell>
        </row>
        <row r="147">
          <cell r="C147">
            <v>435.8178728798088</v>
          </cell>
          <cell r="E147" t="str">
            <v>       67 %</v>
          </cell>
        </row>
        <row r="148">
          <cell r="C148">
            <v>137.0241119501618</v>
          </cell>
          <cell r="E148" t="str">
            <v>       83 %</v>
          </cell>
        </row>
        <row r="149">
          <cell r="D149" t="str">
            <v>- End of Budget 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urkey"/>
    </sheetNames>
    <sheetDataSet>
      <sheetData sheetId="0">
        <row r="1">
          <cell r="A1" t="str">
            <v>Turkey 1</v>
          </cell>
          <cell r="C1" t="str">
            <v>TURKEY ENTERPRISE BUDGET</v>
          </cell>
          <cell r="G1" t="str">
            <v>Revised: May '98</v>
          </cell>
        </row>
        <row r="2">
          <cell r="A2">
            <v>354</v>
          </cell>
          <cell r="F2" t="str">
            <v>Profit / Kilogram:</v>
          </cell>
          <cell r="H2">
            <v>0</v>
          </cell>
        </row>
        <row r="3">
          <cell r="G3" t="str">
            <v>Revised: July 94</v>
          </cell>
        </row>
        <row r="5">
          <cell r="A5" t="str">
            <v>Basic quota units per year</v>
          </cell>
          <cell r="E5">
            <v>230000</v>
          </cell>
          <cell r="F5" t="str">
            <v>Kgs</v>
          </cell>
        </row>
        <row r="6">
          <cell r="A6" t="str">
            <v>Percentage of Quota Eligible</v>
          </cell>
          <cell r="E6">
            <v>70.25</v>
          </cell>
          <cell r="F6" t="str">
            <v>%</v>
          </cell>
        </row>
        <row r="7">
          <cell r="A7" t="str">
            <v>Required end-weight range</v>
          </cell>
          <cell r="E7">
            <v>9.2</v>
          </cell>
          <cell r="F7" t="str">
            <v>kg </v>
          </cell>
        </row>
        <row r="8">
          <cell r="A8" t="str">
            <v>Calculated total annual production:</v>
          </cell>
          <cell r="E8">
            <v>0</v>
          </cell>
          <cell r="F8" t="str">
            <v>kg </v>
          </cell>
        </row>
        <row r="10">
          <cell r="A10" t="str">
            <v>Number of cycles</v>
          </cell>
          <cell r="E10">
            <v>3</v>
          </cell>
          <cell r="F10" t="str">
            <v>per year</v>
          </cell>
        </row>
        <row r="11">
          <cell r="A11" t="str">
            <v>Weeks per cycle (incl.cleanout)</v>
          </cell>
          <cell r="E11">
            <v>17</v>
          </cell>
          <cell r="F11" t="str">
            <v>weeks/cycle</v>
          </cell>
        </row>
        <row r="12">
          <cell r="A12" t="str">
            <v>Total number weeks/year (max.54)</v>
          </cell>
          <cell r="E12">
            <v>0</v>
          </cell>
          <cell r="F12" t="str">
            <v>weeks/year</v>
          </cell>
        </row>
        <row r="13">
          <cell r="A13" t="str">
            <v>Total birds marketed</v>
          </cell>
          <cell r="E13">
            <v>0</v>
          </cell>
        </row>
        <row r="14">
          <cell r="K14">
            <v>0</v>
          </cell>
        </row>
        <row r="15">
          <cell r="A15" t="str">
            <v>&lt;&lt;Weight Range Info &gt;&gt;</v>
          </cell>
          <cell r="E15" t="str">
            <v>&lt;&lt; Quota Eligibility &gt;&gt;</v>
          </cell>
          <cell r="K15">
            <v>0</v>
          </cell>
        </row>
        <row r="16">
          <cell r="A16" t="str">
            <v>Broilers</v>
          </cell>
          <cell r="B16" t="str">
            <v>less than 6.2</v>
          </cell>
          <cell r="E16" t="str">
            <v>Broilers</v>
          </cell>
          <cell r="F16">
            <v>70.25</v>
          </cell>
          <cell r="K16">
            <v>0</v>
          </cell>
        </row>
        <row r="17">
          <cell r="A17" t="str">
            <v>Hens</v>
          </cell>
          <cell r="B17" t="str">
            <v>6.3 kgs to 9.8 kgs</v>
          </cell>
          <cell r="E17" t="str">
            <v>Hens</v>
          </cell>
          <cell r="F17">
            <v>70.25</v>
          </cell>
          <cell r="K17">
            <v>0</v>
          </cell>
        </row>
        <row r="18">
          <cell r="A18" t="str">
            <v>Toms</v>
          </cell>
          <cell r="B18" t="str">
            <v>greater than 9.9 kgs</v>
          </cell>
          <cell r="E18" t="str">
            <v>Toms</v>
          </cell>
          <cell r="F18">
            <v>76.5</v>
          </cell>
          <cell r="K18">
            <v>0</v>
          </cell>
        </row>
        <row r="20">
          <cell r="K20" t="str">
            <v>Tran!D3..G14</v>
          </cell>
        </row>
        <row r="21">
          <cell r="E21" t="str">
            <v>Opt.</v>
          </cell>
          <cell r="F21" t="str">
            <v> Expected</v>
          </cell>
          <cell r="G21" t="str">
            <v>   Pess.</v>
          </cell>
          <cell r="K21" t="str">
            <v>Allo!C3..J14</v>
          </cell>
        </row>
        <row r="22">
          <cell r="A22" t="str">
            <v>Poult cost ($'s ea.)</v>
          </cell>
          <cell r="E22">
            <v>1.35</v>
          </cell>
          <cell r="F22">
            <v>1.45</v>
          </cell>
          <cell r="G22">
            <v>1.55</v>
          </cell>
          <cell r="K22">
            <v>0</v>
          </cell>
        </row>
        <row r="23">
          <cell r="A23" t="str">
            <v>Turkey Price ($'s/kg.)</v>
          </cell>
          <cell r="E23">
            <v>1.6</v>
          </cell>
          <cell r="F23">
            <v>1.52</v>
          </cell>
          <cell r="G23">
            <v>1.45</v>
          </cell>
          <cell r="K23">
            <v>0</v>
          </cell>
        </row>
        <row r="24">
          <cell r="A24" t="str">
            <v>Death loss (including # condemned) %</v>
          </cell>
          <cell r="E24">
            <v>4</v>
          </cell>
          <cell r="F24">
            <v>8</v>
          </cell>
          <cell r="G24">
            <v>12</v>
          </cell>
          <cell r="K24">
            <v>0</v>
          </cell>
        </row>
        <row r="25">
          <cell r="A25" t="str">
            <v>Feed conversion rate</v>
          </cell>
          <cell r="E25">
            <v>2</v>
          </cell>
          <cell r="F25">
            <v>2.3</v>
          </cell>
          <cell r="G25">
            <v>2.5</v>
          </cell>
          <cell r="K25">
            <v>0</v>
          </cell>
        </row>
        <row r="26">
          <cell r="A26" t="str">
            <v>Purchased feed price ($'s per tonne)</v>
          </cell>
          <cell r="E26">
            <v>280</v>
          </cell>
          <cell r="F26">
            <v>300</v>
          </cell>
          <cell r="G26">
            <v>320</v>
          </cell>
          <cell r="K26">
            <v>0</v>
          </cell>
        </row>
        <row r="27">
          <cell r="A27" t="str">
            <v>Poults</v>
          </cell>
          <cell r="B27" t="str">
            <v>Required</v>
          </cell>
          <cell r="F27">
            <v>0</v>
          </cell>
          <cell r="K27">
            <v>0</v>
          </cell>
        </row>
        <row r="28">
          <cell r="B28" t="str">
            <v>% extra from Hatchery</v>
          </cell>
          <cell r="E28">
            <v>2</v>
          </cell>
          <cell r="F28">
            <v>0</v>
          </cell>
          <cell r="K28">
            <v>0</v>
          </cell>
        </row>
        <row r="29">
          <cell r="B29" t="str">
            <v>Purchased</v>
          </cell>
          <cell r="F29">
            <v>0</v>
          </cell>
        </row>
        <row r="30">
          <cell r="A30" t="str">
            <v>EXPENSES</v>
          </cell>
        </row>
        <row r="31">
          <cell r="A31" t="str">
            <v> Variable Costs:</v>
          </cell>
          <cell r="F31" t="str">
            <v>$/kg</v>
          </cell>
          <cell r="G31" t="str">
            <v> $/Cycle:</v>
          </cell>
          <cell r="H31" t="str">
            <v> $/Year:</v>
          </cell>
        </row>
        <row r="32">
          <cell r="A32" t="str">
            <v> Feed costs:</v>
          </cell>
        </row>
        <row r="33">
          <cell r="A33" t="str">
            <v>  Purchased feed</v>
          </cell>
          <cell r="C33">
            <v>0</v>
          </cell>
          <cell r="D33" t="str">
            <v>($'s per tonne)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    kilograms/bird</v>
          </cell>
          <cell r="C34">
            <v>0</v>
          </cell>
          <cell r="D34" t="str">
            <v>(computed)</v>
          </cell>
        </row>
        <row r="35">
          <cell r="A35" t="str">
            <v>    tonnes/cycle</v>
          </cell>
          <cell r="C35">
            <v>0</v>
          </cell>
          <cell r="D35" t="str">
            <v>(computed)</v>
          </cell>
        </row>
        <row r="36">
          <cell r="A36" t="str">
            <v>    tonnes/year</v>
          </cell>
          <cell r="C36">
            <v>0</v>
          </cell>
          <cell r="D36" t="str">
            <v>(computed)</v>
          </cell>
        </row>
        <row r="37">
          <cell r="A37" t="str">
            <v>  Other#1</v>
          </cell>
          <cell r="C37">
            <v>0</v>
          </cell>
          <cell r="D37" t="str">
            <v>(cost per cycle)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 Other#2</v>
          </cell>
          <cell r="C38">
            <v>0</v>
          </cell>
          <cell r="D38" t="str">
            <v>(cost per cycle)</v>
          </cell>
          <cell r="F38">
            <v>0</v>
          </cell>
          <cell r="G38">
            <v>0</v>
          </cell>
          <cell r="H38">
            <v>0</v>
          </cell>
        </row>
        <row r="40">
          <cell r="A40" t="str">
            <v>  Homegrown Feed *</v>
          </cell>
        </row>
        <row r="41">
          <cell r="A41" t="str">
            <v>    Crop Transfers    (from Transfer Table)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  ------</v>
          </cell>
          <cell r="F42" t="str">
            <v>$/kg</v>
          </cell>
          <cell r="G42" t="str">
            <v> $/Cycle:</v>
          </cell>
          <cell r="H42" t="str">
            <v> $/Year:</v>
          </cell>
        </row>
        <row r="43">
          <cell r="A43" t="str">
            <v> Total Feed Costs</v>
          </cell>
          <cell r="F43">
            <v>0</v>
          </cell>
          <cell r="G43">
            <v>0</v>
          </cell>
          <cell r="H43">
            <v>0</v>
          </cell>
        </row>
        <row r="45">
          <cell r="B45" t="str">
            <v>  * (be careful not to include crop costs which</v>
          </cell>
        </row>
        <row r="46">
          <cell r="B46" t="str">
            <v>     have already been entered in the transfer table.)</v>
          </cell>
        </row>
        <row r="48">
          <cell r="A48" t="str">
            <v> Expected Yearly Poult Purchases (in dollars)</v>
          </cell>
          <cell r="G48">
            <v>0</v>
          </cell>
          <cell r="H48">
            <v>0</v>
          </cell>
        </row>
        <row r="51">
          <cell r="D51" t="str">
            <v> Unit</v>
          </cell>
          <cell r="E51" t="str">
            <v>Number</v>
          </cell>
          <cell r="F51" t="str">
            <v>$/Unit</v>
          </cell>
          <cell r="G51" t="str">
            <v>  $/Cycle:</v>
          </cell>
          <cell r="H51" t="str">
            <v>   $/Year</v>
          </cell>
        </row>
        <row r="52">
          <cell r="A52" t="str">
            <v> Hired Labour</v>
          </cell>
          <cell r="D52" t="str">
            <v>hrs</v>
          </cell>
          <cell r="E52">
            <v>0</v>
          </cell>
          <cell r="F52">
            <v>7.75</v>
          </cell>
          <cell r="G52">
            <v>0</v>
          </cell>
          <cell r="H52">
            <v>0</v>
          </cell>
        </row>
        <row r="53">
          <cell r="A53" t="str">
            <v> Catching</v>
          </cell>
          <cell r="D53" t="str">
            <v>kg</v>
          </cell>
          <cell r="E53">
            <v>0</v>
          </cell>
          <cell r="F53">
            <v>0.0094</v>
          </cell>
          <cell r="G53">
            <v>0</v>
          </cell>
          <cell r="H53">
            <v>0</v>
          </cell>
        </row>
        <row r="54">
          <cell r="A54" t="str">
            <v> Veterinary &amp; Medicine</v>
          </cell>
          <cell r="D54" t="str">
            <v>kg</v>
          </cell>
          <cell r="E54">
            <v>0</v>
          </cell>
          <cell r="F54">
            <v>0.01</v>
          </cell>
          <cell r="G54">
            <v>0</v>
          </cell>
          <cell r="H54">
            <v>0</v>
          </cell>
        </row>
        <row r="55">
          <cell r="A55" t="str">
            <v> Bedding</v>
          </cell>
          <cell r="D55" t="str">
            <v>kg</v>
          </cell>
          <cell r="E55">
            <v>0</v>
          </cell>
          <cell r="F55">
            <v>0.02</v>
          </cell>
          <cell r="G55">
            <v>0</v>
          </cell>
          <cell r="H55">
            <v>0</v>
          </cell>
        </row>
        <row r="56">
          <cell r="A56" t="str">
            <v> Levies - Ontario</v>
          </cell>
          <cell r="D56" t="str">
            <v>kg</v>
          </cell>
          <cell r="E56">
            <v>0</v>
          </cell>
          <cell r="F56">
            <v>0.011</v>
          </cell>
          <cell r="G56">
            <v>0</v>
          </cell>
          <cell r="H56">
            <v>0</v>
          </cell>
        </row>
        <row r="57">
          <cell r="A57" t="str">
            <v> Levies - CTMA</v>
          </cell>
          <cell r="D57" t="str">
            <v>kg</v>
          </cell>
          <cell r="E57">
            <v>0</v>
          </cell>
          <cell r="F57">
            <v>0.013</v>
          </cell>
          <cell r="G57">
            <v>0</v>
          </cell>
          <cell r="H57">
            <v>0</v>
          </cell>
          <cell r="K57" t="str">
            <v>Wfarm!L4</v>
          </cell>
        </row>
        <row r="58">
          <cell r="A58" t="str">
            <v> Transportation</v>
          </cell>
          <cell r="D58" t="str">
            <v>kg</v>
          </cell>
          <cell r="E58">
            <v>0</v>
          </cell>
          <cell r="F58">
            <v>0.009</v>
          </cell>
          <cell r="G58">
            <v>0</v>
          </cell>
          <cell r="H58">
            <v>0</v>
          </cell>
          <cell r="K58" t="str">
            <v>Wfarm!L5</v>
          </cell>
        </row>
        <row r="59">
          <cell r="A59" t="str">
            <v> Heat</v>
          </cell>
          <cell r="D59" t="str">
            <v>kg</v>
          </cell>
          <cell r="E59">
            <v>0</v>
          </cell>
          <cell r="F59">
            <v>0.05</v>
          </cell>
          <cell r="G59">
            <v>0</v>
          </cell>
          <cell r="H59">
            <v>0</v>
          </cell>
          <cell r="K59" t="str">
            <v>Wfarm!L6</v>
          </cell>
        </row>
        <row r="60">
          <cell r="A60" t="str">
            <v> Custom Work</v>
          </cell>
          <cell r="D60" t="str">
            <v>$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 t="str">
            <v>Wfarm!L7</v>
          </cell>
        </row>
        <row r="61">
          <cell r="A61" t="str">
            <v> Insurance</v>
          </cell>
          <cell r="D61" t="str">
            <v>kg</v>
          </cell>
          <cell r="E61">
            <v>0</v>
          </cell>
          <cell r="F61">
            <v>0.01</v>
          </cell>
          <cell r="G61">
            <v>0</v>
          </cell>
          <cell r="H61">
            <v>0</v>
          </cell>
          <cell r="K61" t="str">
            <v>Wfarm!L8</v>
          </cell>
        </row>
        <row r="62">
          <cell r="A62" t="str">
            <v> Miscellaneous </v>
          </cell>
          <cell r="D62" t="str">
            <v>$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</row>
        <row r="64">
          <cell r="D64" t="str">
            <v>Typical</v>
          </cell>
          <cell r="E64" t="str">
            <v> Enterprise</v>
          </cell>
          <cell r="J64">
            <v>0</v>
          </cell>
          <cell r="K64" t="str">
            <v>Wfarm!L9</v>
          </cell>
        </row>
        <row r="65">
          <cell r="C65" t="str">
            <v>       $/kg</v>
          </cell>
          <cell r="E65" t="str">
            <v> $ Allocated:</v>
          </cell>
          <cell r="G65" t="str">
            <v>  $/Cycle:</v>
          </cell>
          <cell r="H65" t="str">
            <v>   $/Year</v>
          </cell>
        </row>
        <row r="66">
          <cell r="A66" t="str">
            <v> Fuel</v>
          </cell>
          <cell r="D66">
            <v>0.008</v>
          </cell>
          <cell r="E66">
            <v>0</v>
          </cell>
          <cell r="G66">
            <v>0</v>
          </cell>
          <cell r="H66">
            <v>0</v>
          </cell>
        </row>
        <row r="67">
          <cell r="A67" t="str">
            <v> Mach. Repair &amp; Maint.</v>
          </cell>
          <cell r="D67">
            <v>0.03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Bldg. Repair &amp; Maint.</v>
          </cell>
          <cell r="D68">
            <v>0.02</v>
          </cell>
          <cell r="E68">
            <v>0</v>
          </cell>
          <cell r="G68">
            <v>0</v>
          </cell>
          <cell r="H68">
            <v>0</v>
          </cell>
        </row>
        <row r="69">
          <cell r="A69" t="str">
            <v> Rent and Labour</v>
          </cell>
          <cell r="D69">
            <v>0.008</v>
          </cell>
          <cell r="E69">
            <v>0</v>
          </cell>
          <cell r="G69">
            <v>0</v>
          </cell>
          <cell r="H69">
            <v>0</v>
          </cell>
        </row>
        <row r="70">
          <cell r="A70" t="str">
            <v> General Variable Costs</v>
          </cell>
          <cell r="D70">
            <v>0.008</v>
          </cell>
          <cell r="E70">
            <v>0</v>
          </cell>
          <cell r="G70">
            <v>0</v>
          </cell>
          <cell r="H70">
            <v>0</v>
          </cell>
        </row>
        <row r="72">
          <cell r="A72" t="str">
            <v>Interest on</v>
          </cell>
          <cell r="C72" t="str">
            <v>% Int.</v>
          </cell>
          <cell r="D72" t="str">
            <v>% Year</v>
          </cell>
          <cell r="K72" t="str">
            <v>Wfarm!K4</v>
          </cell>
        </row>
        <row r="73">
          <cell r="A73" t="str">
            <v>Operating Capital</v>
          </cell>
          <cell r="C73">
            <v>10</v>
          </cell>
          <cell r="D73">
            <v>50</v>
          </cell>
          <cell r="E73">
            <v>0</v>
          </cell>
          <cell r="G73">
            <v>0</v>
          </cell>
          <cell r="H73">
            <v>0</v>
          </cell>
          <cell r="K73" t="str">
            <v>Wfarm!K5</v>
          </cell>
        </row>
        <row r="74">
          <cell r="K74" t="str">
            <v>Wfarm!K6</v>
          </cell>
        </row>
        <row r="75">
          <cell r="A75" t="str">
            <v>Total Variable Costs</v>
          </cell>
          <cell r="D75">
            <v>0</v>
          </cell>
          <cell r="G75">
            <v>0</v>
          </cell>
          <cell r="H75">
            <v>0</v>
          </cell>
          <cell r="K75" t="str">
            <v>Wfarm!K7</v>
          </cell>
        </row>
        <row r="77">
          <cell r="D77" t="str">
            <v>Typical</v>
          </cell>
          <cell r="E77" t="str">
            <v> Enterprise</v>
          </cell>
        </row>
        <row r="78">
          <cell r="A78" t="str">
            <v>Fixed Costs:</v>
          </cell>
          <cell r="D78" t="str">
            <v>$/kg</v>
          </cell>
          <cell r="E78" t="str">
            <v> $ Allocated:</v>
          </cell>
          <cell r="G78" t="str">
            <v>  $/Cycle:</v>
          </cell>
          <cell r="H78" t="str">
            <v>   $/Year</v>
          </cell>
        </row>
        <row r="79">
          <cell r="A79" t="str">
            <v> Depreciation</v>
          </cell>
          <cell r="D79">
            <v>0.08</v>
          </cell>
          <cell r="E79">
            <v>0</v>
          </cell>
          <cell r="G79">
            <v>0</v>
          </cell>
          <cell r="H79">
            <v>0</v>
          </cell>
        </row>
        <row r="80">
          <cell r="A80" t="str">
            <v> Interest on Term Loans</v>
          </cell>
          <cell r="D80">
            <v>0.04</v>
          </cell>
          <cell r="E80">
            <v>0</v>
          </cell>
          <cell r="G80">
            <v>0</v>
          </cell>
          <cell r="H80">
            <v>0</v>
          </cell>
        </row>
        <row r="81">
          <cell r="A81" t="str">
            <v> Long-term Leases</v>
          </cell>
          <cell r="D81">
            <v>0.01</v>
          </cell>
          <cell r="E81">
            <v>0</v>
          </cell>
          <cell r="G81">
            <v>0</v>
          </cell>
          <cell r="H81">
            <v>0</v>
          </cell>
        </row>
        <row r="82">
          <cell r="A82" t="str">
            <v> General Fixed Costs</v>
          </cell>
          <cell r="D82">
            <v>0.02</v>
          </cell>
          <cell r="E82">
            <v>0</v>
          </cell>
          <cell r="G82">
            <v>0</v>
          </cell>
          <cell r="H82">
            <v>0</v>
          </cell>
        </row>
        <row r="84">
          <cell r="A84" t="str">
            <v>Total Fixed Costs</v>
          </cell>
          <cell r="D84">
            <v>0</v>
          </cell>
          <cell r="G84">
            <v>0</v>
          </cell>
          <cell r="H84">
            <v>0</v>
          </cell>
        </row>
        <row r="87">
          <cell r="A87" t="str">
            <v>Revenues:</v>
          </cell>
          <cell r="E87" t="str">
            <v>$/kg.</v>
          </cell>
          <cell r="F87" t="str">
            <v>$/Cycle</v>
          </cell>
          <cell r="G87" t="str">
            <v>$/Year</v>
          </cell>
        </row>
        <row r="88">
          <cell r="A88" t="str">
            <v>Total Expected Revenues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    less: Feed and Chick Costs</v>
          </cell>
          <cell r="E89">
            <v>0</v>
          </cell>
          <cell r="F89">
            <v>0</v>
          </cell>
          <cell r="G89">
            <v>0</v>
          </cell>
        </row>
        <row r="91">
          <cell r="A91" t="str">
            <v>NET of FEED &amp; CHICK Costs: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    less: Remaining Variable Costs</v>
          </cell>
          <cell r="E92">
            <v>0</v>
          </cell>
          <cell r="F92">
            <v>0</v>
          </cell>
          <cell r="G92">
            <v>0</v>
          </cell>
        </row>
        <row r="94">
          <cell r="A94" t="str">
            <v>Expected Operating Margin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    less: Fixed Costs</v>
          </cell>
          <cell r="E95">
            <v>0</v>
          </cell>
          <cell r="F95">
            <v>0</v>
          </cell>
          <cell r="G95">
            <v>0</v>
          </cell>
        </row>
        <row r="97">
          <cell r="A97" t="str">
            <v>Expected Net Revenue</v>
          </cell>
          <cell r="E97">
            <v>0</v>
          </cell>
          <cell r="F97">
            <v>0</v>
          </cell>
          <cell r="G97">
            <v>0</v>
          </cell>
        </row>
        <row r="101">
          <cell r="A101" t="str">
            <v>Expected break-even dollars per kilogram</v>
          </cell>
        </row>
        <row r="102">
          <cell r="A102" t="str">
            <v>for birds sold; needed to cover:</v>
          </cell>
          <cell r="E102" t="str">
            <v>Variable Costs</v>
          </cell>
          <cell r="G102">
            <v>0</v>
          </cell>
        </row>
        <row r="103">
          <cell r="E103" t="str">
            <v>Fixed Costs</v>
          </cell>
          <cell r="G103">
            <v>0</v>
          </cell>
        </row>
        <row r="105">
          <cell r="E105" t="str">
            <v>Total Costs</v>
          </cell>
          <cell r="G105">
            <v>0</v>
          </cell>
        </row>
        <row r="106">
          <cell r="A106" t="str">
            <v>=</v>
          </cell>
          <cell r="B106" t="str">
            <v>=</v>
          </cell>
          <cell r="C106" t="str">
            <v>=</v>
          </cell>
          <cell r="D106" t="str">
            <v>=</v>
          </cell>
          <cell r="E106" t="str">
            <v>=</v>
          </cell>
          <cell r="F106" t="str">
            <v>=</v>
          </cell>
          <cell r="G106" t="str">
            <v>=</v>
          </cell>
          <cell r="H106" t="str">
            <v>=</v>
          </cell>
        </row>
        <row r="107">
          <cell r="H107" t="str">
            <v>StdPf</v>
          </cell>
          <cell r="I107">
            <v>0</v>
          </cell>
          <cell r="J107" t="str">
            <v> +profit</v>
          </cell>
        </row>
        <row r="108">
          <cell r="B108" t="str">
            <v>Chance of at least breaking even       ==&gt;</v>
          </cell>
          <cell r="G108">
            <v>0</v>
          </cell>
          <cell r="H108" t="str">
            <v>StdQf</v>
          </cell>
          <cell r="I108">
            <v>0</v>
          </cell>
          <cell r="J108">
            <v>0</v>
          </cell>
        </row>
        <row r="109">
          <cell r="B109" t="str">
            <v>Chance of at least</v>
          </cell>
          <cell r="D109">
            <v>0</v>
          </cell>
          <cell r="E109" t="str">
            <v>$/cycle retn==&gt;</v>
          </cell>
          <cell r="G109">
            <v>0</v>
          </cell>
          <cell r="H109" t="str">
            <v>StdPe</v>
          </cell>
          <cell r="I109">
            <v>0</v>
          </cell>
          <cell r="J109">
            <v>0</v>
          </cell>
        </row>
        <row r="110">
          <cell r="B110" t="str">
            <v>Coefficient of variation               ==&gt;</v>
          </cell>
          <cell r="G110">
            <v>0</v>
          </cell>
          <cell r="H110" t="str">
            <v>StdQe</v>
          </cell>
          <cell r="I110">
            <v>0</v>
          </cell>
          <cell r="J110">
            <v>0</v>
          </cell>
        </row>
        <row r="111">
          <cell r="H111" t="str">
            <v>Var(PeQe)</v>
          </cell>
          <cell r="I111">
            <v>0</v>
          </cell>
          <cell r="J111">
            <v>0</v>
          </cell>
        </row>
        <row r="112">
          <cell r="C112" t="str">
            <v>      Returns</v>
          </cell>
          <cell r="E112" t="str">
            <v>        Chances of at least</v>
          </cell>
          <cell r="H112" t="str">
            <v>Var(PbQb)</v>
          </cell>
          <cell r="I112">
            <v>0</v>
          </cell>
        </row>
        <row r="113">
          <cell r="C113" t="str">
            <v>$/kg</v>
          </cell>
          <cell r="D113" t="str">
            <v>$/cycle</v>
          </cell>
          <cell r="F113" t="str">
            <v>this return per kg</v>
          </cell>
          <cell r="H113" t="str">
            <v>Var(PfQf)</v>
          </cell>
          <cell r="I113">
            <v>0</v>
          </cell>
        </row>
        <row r="114">
          <cell r="H114" t="str">
            <v>SumStd</v>
          </cell>
          <cell r="I114">
            <v>0</v>
          </cell>
        </row>
        <row r="115">
          <cell r="C115">
            <v>0</v>
          </cell>
          <cell r="D115">
            <v>0</v>
          </cell>
          <cell r="F115" t="str">
            <v>       17 %</v>
          </cell>
          <cell r="H115" t="str">
            <v>KgStd</v>
          </cell>
          <cell r="I115">
            <v>0</v>
          </cell>
        </row>
        <row r="116">
          <cell r="C116">
            <v>0</v>
          </cell>
          <cell r="D116">
            <v>0</v>
          </cell>
          <cell r="F116" t="str">
            <v>       33 %</v>
          </cell>
          <cell r="H116" t="str">
            <v>CycleStd</v>
          </cell>
          <cell r="I116">
            <v>0</v>
          </cell>
        </row>
        <row r="117">
          <cell r="C117">
            <v>0</v>
          </cell>
          <cell r="D117">
            <v>0</v>
          </cell>
          <cell r="F117" t="str">
            <v>       50 %</v>
          </cell>
          <cell r="I117" t="str">
            <v> +b.e.</v>
          </cell>
        </row>
        <row r="118">
          <cell r="C118">
            <v>0</v>
          </cell>
          <cell r="D118">
            <v>0</v>
          </cell>
          <cell r="F118" t="str">
            <v>       67 %</v>
          </cell>
          <cell r="H118" t="str">
            <v>z</v>
          </cell>
          <cell r="I118">
            <v>0</v>
          </cell>
        </row>
        <row r="119">
          <cell r="C119">
            <v>0</v>
          </cell>
          <cell r="D119">
            <v>0</v>
          </cell>
          <cell r="F119" t="str">
            <v>       83 %</v>
          </cell>
          <cell r="H119" t="str">
            <v>v1</v>
          </cell>
          <cell r="I119">
            <v>0</v>
          </cell>
        </row>
        <row r="120">
          <cell r="H120" t="str">
            <v>v2</v>
          </cell>
          <cell r="I120">
            <v>0</v>
          </cell>
        </row>
        <row r="121">
          <cell r="D121" t="str">
            <v> - End of Budget -</v>
          </cell>
          <cell r="H121" t="str">
            <v>p(vx)</v>
          </cell>
          <cell r="I121">
            <v>0</v>
          </cell>
        </row>
        <row r="122">
          <cell r="A122" t="str">
            <v>=</v>
          </cell>
          <cell r="B122" t="str">
            <v>=</v>
          </cell>
          <cell r="C122" t="str">
            <v>=</v>
          </cell>
          <cell r="D122" t="str">
            <v>=</v>
          </cell>
          <cell r="E122" t="str">
            <v>=</v>
          </cell>
          <cell r="F122" t="str">
            <v>=</v>
          </cell>
          <cell r="G122" t="str">
            <v>=</v>
          </cell>
          <cell r="H122" t="str">
            <v>=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ay"/>
    </sheetNames>
    <sheetDataSet>
      <sheetData sheetId="0">
        <row r="1">
          <cell r="A1" t="str">
            <v>Hay 1</v>
          </cell>
          <cell r="C1" t="str">
            <v>ALFALFA HAY ENTERPRISE BUDGET</v>
          </cell>
          <cell r="G1" t="str">
            <v>Revised: May '98</v>
          </cell>
        </row>
        <row r="2">
          <cell r="A2">
            <v>702</v>
          </cell>
          <cell r="F2" t="str">
            <v>Profit Per Acre</v>
          </cell>
          <cell r="H2">
            <v>71.71625808930952</v>
          </cell>
        </row>
        <row r="3">
          <cell r="B3" t="str">
            <v>Number of Acres =</v>
          </cell>
          <cell r="D3">
            <v>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  <cell r="G4" t="str">
            <v>=</v>
          </cell>
          <cell r="H4" t="str">
            <v>=</v>
          </cell>
        </row>
        <row r="5">
          <cell r="C5" t="str">
            <v>  Optimistic</v>
          </cell>
          <cell r="E5" t="str">
            <v>  Expected</v>
          </cell>
          <cell r="G5" t="str">
            <v> Pessimistic</v>
          </cell>
        </row>
        <row r="6">
          <cell r="A6" t="str">
            <v>Yield - tonne/acre</v>
          </cell>
          <cell r="C6">
            <v>3.4</v>
          </cell>
          <cell r="E6">
            <v>3.1</v>
          </cell>
          <cell r="G6">
            <v>2.9</v>
          </cell>
        </row>
        <row r="7">
          <cell r="A7" t="str">
            <v>Price - $/tonne</v>
          </cell>
          <cell r="C7">
            <v>91.53</v>
          </cell>
          <cell r="E7">
            <v>75.5</v>
          </cell>
          <cell r="G7">
            <v>66.25</v>
          </cell>
        </row>
        <row r="8">
          <cell r="A8" t="str">
            <v>Production - tonne</v>
          </cell>
          <cell r="C8">
            <v>3.4</v>
          </cell>
          <cell r="E8">
            <v>3.1</v>
          </cell>
          <cell r="G8">
            <v>2.9</v>
          </cell>
        </row>
        <row r="9">
          <cell r="A9" t="str">
            <v>=</v>
          </cell>
          <cell r="B9" t="str">
            <v>=</v>
          </cell>
          <cell r="C9" t="str">
            <v>=</v>
          </cell>
          <cell r="D9" t="str">
            <v>=</v>
          </cell>
          <cell r="E9" t="str">
            <v>=</v>
          </cell>
          <cell r="F9" t="str">
            <v>=</v>
          </cell>
          <cell r="G9" t="str">
            <v>=</v>
          </cell>
          <cell r="H9" t="str">
            <v>=</v>
          </cell>
        </row>
        <row r="10">
          <cell r="A10" t="str">
            <v>  Crop Insurance</v>
          </cell>
        </row>
        <row r="11">
          <cell r="A11" t="str">
            <v>   C.I. Premium/ac:</v>
          </cell>
          <cell r="D11">
            <v>5</v>
          </cell>
        </row>
        <row r="12">
          <cell r="A12" t="str">
            <v>   Level of Coverage</v>
          </cell>
          <cell r="D12">
            <v>0.85</v>
          </cell>
        </row>
        <row r="13">
          <cell r="A13" t="str">
            <v>   Guaranteed Yield/ac.</v>
          </cell>
          <cell r="D13">
            <v>2.635</v>
          </cell>
          <cell r="K13">
            <v>0</v>
          </cell>
        </row>
        <row r="14">
          <cell r="A14" t="str">
            <v>   Probability of a payout</v>
          </cell>
          <cell r="D14">
            <v>0</v>
          </cell>
          <cell r="K14">
            <v>0</v>
          </cell>
        </row>
        <row r="15">
          <cell r="A15" t="str">
            <v>   Expected Payout/ac</v>
          </cell>
          <cell r="D15">
            <v>0</v>
          </cell>
          <cell r="K15">
            <v>117.56492436835555</v>
          </cell>
        </row>
        <row r="16">
          <cell r="D16">
            <v>0</v>
          </cell>
          <cell r="K16">
            <v>45</v>
          </cell>
        </row>
        <row r="17">
          <cell r="A17" t="str">
            <v> Participate in CI? (y/n)</v>
          </cell>
          <cell r="D17" t="str">
            <v>y</v>
          </cell>
          <cell r="K17">
            <v>234.05</v>
          </cell>
        </row>
        <row r="18">
          <cell r="A18" t="str">
            <v>=</v>
          </cell>
          <cell r="B18" t="str">
            <v>=</v>
          </cell>
          <cell r="C18" t="str">
            <v>=</v>
          </cell>
          <cell r="D18" t="str">
            <v>=</v>
          </cell>
          <cell r="E18" t="str">
            <v>=</v>
          </cell>
          <cell r="F18" t="str">
            <v>=</v>
          </cell>
          <cell r="G18" t="str">
            <v>=</v>
          </cell>
          <cell r="H18" t="str">
            <v>=</v>
          </cell>
          <cell r="K18">
            <v>60.2295030414109</v>
          </cell>
        </row>
        <row r="19">
          <cell r="D19" t="str">
            <v>Unit/Ac</v>
          </cell>
          <cell r="E19" t="str">
            <v>Number</v>
          </cell>
          <cell r="F19" t="str">
            <v>Cost/Unit</v>
          </cell>
          <cell r="G19" t="str">
            <v>$/Acre</v>
          </cell>
          <cell r="H19" t="str">
            <v>$/Year</v>
          </cell>
          <cell r="K19">
            <v>3.1</v>
          </cell>
        </row>
        <row r="20">
          <cell r="A20" t="str">
            <v>Expenses</v>
          </cell>
          <cell r="D20" t="str">
            <v>-------</v>
          </cell>
          <cell r="E20" t="str">
            <v>  ------</v>
          </cell>
          <cell r="F20" t="str">
            <v>-</v>
          </cell>
          <cell r="G20" t="str">
            <v>  ------</v>
          </cell>
          <cell r="H20" t="str">
            <v>  -------</v>
          </cell>
          <cell r="K20">
            <v>75.5</v>
          </cell>
        </row>
        <row r="21">
          <cell r="A21" t="str">
            <v>Variable Costs:</v>
          </cell>
          <cell r="K21" t="str">
            <v>Allo!C3..J14</v>
          </cell>
        </row>
        <row r="22">
          <cell r="A22" t="str">
            <v> Alfalfa Seed</v>
          </cell>
          <cell r="D22" t="str">
            <v>kg (1/3)</v>
          </cell>
          <cell r="E22">
            <v>5.44</v>
          </cell>
          <cell r="F22">
            <v>8.82</v>
          </cell>
          <cell r="G22">
            <v>47.9808</v>
          </cell>
          <cell r="H22">
            <v>0</v>
          </cell>
          <cell r="K22">
            <v>1</v>
          </cell>
        </row>
        <row r="23">
          <cell r="A23" t="str">
            <v> Other Seed </v>
          </cell>
          <cell r="D23" t="str">
            <v>kg</v>
          </cell>
          <cell r="E23">
            <v>0.45</v>
          </cell>
          <cell r="F23">
            <v>2.2</v>
          </cell>
          <cell r="G23">
            <v>0.9900000000000001</v>
          </cell>
          <cell r="H23">
            <v>0</v>
          </cell>
          <cell r="K23">
            <v>0</v>
          </cell>
        </row>
        <row r="24">
          <cell r="A24" t="str">
            <v> Inoculant</v>
          </cell>
          <cell r="D24" t="str">
            <v>kg</v>
          </cell>
          <cell r="E24">
            <v>0.045200000000000004</v>
          </cell>
          <cell r="F24">
            <v>12.78</v>
          </cell>
          <cell r="G24">
            <v>0</v>
          </cell>
          <cell r="H24">
            <v>0</v>
          </cell>
          <cell r="K24">
            <v>27.1</v>
          </cell>
        </row>
        <row r="25">
          <cell r="K25">
            <v>4.333333333333333</v>
          </cell>
        </row>
        <row r="26">
          <cell r="A26" t="str">
            <v> Fertilizer   #1</v>
          </cell>
          <cell r="C26" t="str">
            <v>8-32-16</v>
          </cell>
          <cell r="D26" t="str">
            <v>kg</v>
          </cell>
          <cell r="E26">
            <v>50</v>
          </cell>
          <cell r="F26">
            <v>0.35</v>
          </cell>
          <cell r="G26">
            <v>17.5</v>
          </cell>
          <cell r="H26">
            <v>0</v>
          </cell>
          <cell r="K26">
            <v>0</v>
          </cell>
        </row>
        <row r="27">
          <cell r="A27" t="str">
            <v>              #2</v>
          </cell>
          <cell r="C27" t="str">
            <v>0-0-60</v>
          </cell>
          <cell r="D27" t="str">
            <v>kg</v>
          </cell>
          <cell r="E27">
            <v>40</v>
          </cell>
          <cell r="F27">
            <v>0.24</v>
          </cell>
          <cell r="G27">
            <v>9.6</v>
          </cell>
          <cell r="H27">
            <v>0</v>
          </cell>
          <cell r="K27">
            <v>0</v>
          </cell>
        </row>
        <row r="28">
          <cell r="A28" t="str">
            <v>              #3</v>
          </cell>
          <cell r="C28" t="str">
            <v> </v>
          </cell>
          <cell r="D28" t="str">
            <v>kg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</row>
        <row r="30">
          <cell r="D30" t="str">
            <v>Unit/Ac</v>
          </cell>
          <cell r="E30" t="str">
            <v>Number</v>
          </cell>
          <cell r="F30" t="str">
            <v>Cost/Unit</v>
          </cell>
          <cell r="G30" t="str">
            <v>$/Acre</v>
          </cell>
          <cell r="H30" t="str">
            <v>$/Year</v>
          </cell>
        </row>
        <row r="31">
          <cell r="D31" t="str">
            <v>-------</v>
          </cell>
          <cell r="E31" t="str">
            <v>  ------</v>
          </cell>
          <cell r="F31" t="str">
            <v>-</v>
          </cell>
          <cell r="G31" t="str">
            <v>  ------</v>
          </cell>
          <cell r="H31" t="str">
            <v>  -------</v>
          </cell>
          <cell r="J31" t="str">
            <v>Grip prob factor (component of grip)</v>
          </cell>
          <cell r="K31" t="str">
            <v>  N/A</v>
          </cell>
        </row>
        <row r="32">
          <cell r="A32" t="str">
            <v> Herbicide </v>
          </cell>
          <cell r="J32" t="str">
            <v>C.I. prob factor (component of Crop Insurance)</v>
          </cell>
          <cell r="K32">
            <v>0</v>
          </cell>
        </row>
        <row r="33">
          <cell r="A33" t="str">
            <v>   Broadleaf Herbicides</v>
          </cell>
          <cell r="D33" t="str">
            <v>kg or l</v>
          </cell>
          <cell r="E33">
            <v>0.8</v>
          </cell>
          <cell r="F33">
            <v>16.25</v>
          </cell>
          <cell r="G33">
            <v>13</v>
          </cell>
          <cell r="H33">
            <v>0</v>
          </cell>
          <cell r="K33">
            <v>5</v>
          </cell>
        </row>
        <row r="34">
          <cell r="A34" t="str">
            <v>   Other Herbicides</v>
          </cell>
          <cell r="D34" t="str">
            <v>kg or 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>
            <v>0</v>
          </cell>
        </row>
        <row r="35">
          <cell r="A35" t="str">
            <v> Insecticides</v>
          </cell>
          <cell r="D35" t="str">
            <v>kg or 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Crop Insurance</v>
          </cell>
          <cell r="D36" t="str">
            <v>Insurance</v>
          </cell>
          <cell r="E36">
            <v>1</v>
          </cell>
          <cell r="F36">
            <v>5</v>
          </cell>
          <cell r="G36">
            <v>0</v>
          </cell>
          <cell r="H36">
            <v>0</v>
          </cell>
        </row>
        <row r="37">
          <cell r="A37" t="str">
            <v> Custom Work  #1</v>
          </cell>
          <cell r="C37" t="str">
            <v>Mowing</v>
          </cell>
          <cell r="E37">
            <v>0</v>
          </cell>
          <cell r="F37">
            <v>8</v>
          </cell>
          <cell r="G37">
            <v>0</v>
          </cell>
          <cell r="H37">
            <v>0</v>
          </cell>
        </row>
        <row r="38">
          <cell r="A38" t="str">
            <v>              #2</v>
          </cell>
          <cell r="C38" t="str">
            <v>Baling</v>
          </cell>
          <cell r="E38">
            <v>0</v>
          </cell>
          <cell r="F38">
            <v>60</v>
          </cell>
          <cell r="G38">
            <v>0</v>
          </cell>
          <cell r="H38">
            <v>0</v>
          </cell>
        </row>
        <row r="39">
          <cell r="A39" t="str">
            <v> Baler Twine</v>
          </cell>
          <cell r="D39" t="str">
            <v>sq.bales</v>
          </cell>
          <cell r="E39">
            <v>151.8311111111111</v>
          </cell>
          <cell r="F39">
            <v>0.05</v>
          </cell>
          <cell r="G39">
            <v>0</v>
          </cell>
          <cell r="H39">
            <v>0</v>
          </cell>
        </row>
        <row r="40">
          <cell r="A40" t="str">
            <v> Storage</v>
          </cell>
          <cell r="D40" t="str">
            <v>tonnes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 Trucking</v>
          </cell>
          <cell r="D41" t="str">
            <v>tonnes</v>
          </cell>
          <cell r="E41">
            <v>3.1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 Marketing Fees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Other</v>
          </cell>
          <cell r="D43" t="str">
            <v>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7">
          <cell r="K47" t="str">
            <v>Wfarm!L4</v>
          </cell>
        </row>
        <row r="48">
          <cell r="K48" t="str">
            <v>Wfarm!L5</v>
          </cell>
        </row>
        <row r="49">
          <cell r="K49" t="str">
            <v>Wfarm!L6</v>
          </cell>
        </row>
        <row r="50">
          <cell r="K50" t="str">
            <v>Wfarm!L7</v>
          </cell>
        </row>
        <row r="51">
          <cell r="D51" t="str">
            <v>Typical</v>
          </cell>
          <cell r="E51" t="str">
            <v> Enterprise</v>
          </cell>
          <cell r="K51" t="str">
            <v>Wfarm!L8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</row>
        <row r="53">
          <cell r="A53" t="str">
            <v> Fuel</v>
          </cell>
          <cell r="D53">
            <v>8</v>
          </cell>
          <cell r="E53">
            <v>0</v>
          </cell>
          <cell r="G53">
            <v>0</v>
          </cell>
          <cell r="H53">
            <v>0</v>
          </cell>
        </row>
        <row r="54">
          <cell r="A54" t="str">
            <v> Mach. Repair &amp; Maint.</v>
          </cell>
          <cell r="D54">
            <v>15</v>
          </cell>
          <cell r="E54">
            <v>0</v>
          </cell>
          <cell r="G54">
            <v>0</v>
          </cell>
          <cell r="H54">
            <v>0</v>
          </cell>
        </row>
        <row r="55">
          <cell r="A55" t="str">
            <v> Bldg. Repair &amp; Maint.</v>
          </cell>
          <cell r="D55">
            <v>8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 t="str">
            <v>Wfarm!L9</v>
          </cell>
        </row>
        <row r="56">
          <cell r="A56" t="str">
            <v> Rent and Labour</v>
          </cell>
          <cell r="D56">
            <v>8</v>
          </cell>
          <cell r="E56">
            <v>0</v>
          </cell>
          <cell r="G56">
            <v>0</v>
          </cell>
          <cell r="H56">
            <v>0</v>
          </cell>
        </row>
        <row r="57">
          <cell r="A57" t="str">
            <v> General Variable Costs</v>
          </cell>
          <cell r="D57">
            <v>15</v>
          </cell>
          <cell r="E57">
            <v>0</v>
          </cell>
          <cell r="G57">
            <v>0</v>
          </cell>
          <cell r="H57">
            <v>0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33</v>
          </cell>
          <cell r="E59">
            <v>0</v>
          </cell>
          <cell r="G59">
            <v>0</v>
          </cell>
          <cell r="H59">
            <v>0</v>
          </cell>
        </row>
        <row r="60">
          <cell r="G60" t="str">
            <v>  ------</v>
          </cell>
          <cell r="H60" t="str">
            <v>  -------</v>
          </cell>
        </row>
        <row r="61">
          <cell r="A61" t="str">
            <v>Total Variable Costs</v>
          </cell>
          <cell r="G61">
            <v>0</v>
          </cell>
          <cell r="H61">
            <v>0</v>
          </cell>
          <cell r="K61" t="str">
            <v>Wfarm!K4</v>
          </cell>
        </row>
        <row r="62">
          <cell r="D62" t="str">
            <v>Typical</v>
          </cell>
          <cell r="E62" t="str">
            <v> Enterprise</v>
          </cell>
          <cell r="K62" t="str">
            <v>Wfarm!K5</v>
          </cell>
        </row>
        <row r="63">
          <cell r="A63" t="str">
            <v>Fixed Costs:</v>
          </cell>
          <cell r="D63" t="str">
            <v> $/Acre</v>
          </cell>
          <cell r="E63" t="str">
            <v> $ Allocated</v>
          </cell>
          <cell r="G63" t="str">
            <v>$/Acre</v>
          </cell>
          <cell r="H63" t="str">
            <v>$/Year</v>
          </cell>
          <cell r="K63" t="str">
            <v>Wfarm!K6</v>
          </cell>
        </row>
        <row r="64">
          <cell r="A64" t="str">
            <v> Depreciation</v>
          </cell>
          <cell r="D64">
            <v>22</v>
          </cell>
          <cell r="E64">
            <v>0</v>
          </cell>
          <cell r="G64">
            <v>0</v>
          </cell>
          <cell r="H64">
            <v>0</v>
          </cell>
          <cell r="K64" t="str">
            <v>Wfarm!K7</v>
          </cell>
        </row>
        <row r="65">
          <cell r="A65" t="str">
            <v> Interest on Term Loans</v>
          </cell>
          <cell r="D65">
            <v>13</v>
          </cell>
          <cell r="E65">
            <v>0</v>
          </cell>
          <cell r="G65">
            <v>0</v>
          </cell>
          <cell r="H65">
            <v>0</v>
          </cell>
        </row>
        <row r="66">
          <cell r="A66" t="str">
            <v> Long-term Leases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</row>
        <row r="67">
          <cell r="A67" t="str">
            <v> General Fixed Costs</v>
          </cell>
          <cell r="D67">
            <v>10</v>
          </cell>
          <cell r="E67">
            <v>0</v>
          </cell>
          <cell r="G67">
            <v>0</v>
          </cell>
          <cell r="H67">
            <v>0</v>
          </cell>
        </row>
        <row r="68">
          <cell r="G68" t="str">
            <v>  ------</v>
          </cell>
          <cell r="H68" t="str">
            <v>  -------</v>
          </cell>
        </row>
        <row r="69">
          <cell r="A69" t="str">
            <v>Total Fixed Costs</v>
          </cell>
          <cell r="G69">
            <v>0</v>
          </cell>
          <cell r="H69">
            <v>0</v>
          </cell>
        </row>
        <row r="70">
          <cell r="A70" t="str">
            <v>=</v>
          </cell>
          <cell r="B70" t="str">
            <v>=</v>
          </cell>
          <cell r="C70" t="str">
            <v>=</v>
          </cell>
          <cell r="D70" t="str">
            <v>=</v>
          </cell>
          <cell r="E70" t="str">
            <v>=</v>
          </cell>
          <cell r="F70" t="str">
            <v>=</v>
          </cell>
          <cell r="G70" t="str">
            <v>=</v>
          </cell>
          <cell r="H70" t="str">
            <v>=</v>
          </cell>
        </row>
        <row r="71">
          <cell r="A71" t="str">
            <v>Revenues:</v>
          </cell>
          <cell r="E71" t="str">
            <v>$/Acre</v>
          </cell>
          <cell r="F71" t="str">
            <v>$/Year</v>
          </cell>
        </row>
        <row r="72">
          <cell r="A72" t="str">
            <v>Total Expected Revenues</v>
          </cell>
          <cell r="E72">
            <v>234.05</v>
          </cell>
          <cell r="F72">
            <v>0</v>
          </cell>
        </row>
        <row r="73">
          <cell r="A73" t="str">
            <v>    add: Expected Insurance Revenues</v>
          </cell>
          <cell r="E73">
            <v>0</v>
          </cell>
          <cell r="F73">
            <v>0</v>
          </cell>
        </row>
        <row r="74">
          <cell r="A74" t="str">
            <v>    less: Variable Costs</v>
          </cell>
          <cell r="E74">
            <v>0</v>
          </cell>
          <cell r="F74">
            <v>0</v>
          </cell>
        </row>
        <row r="75">
          <cell r="E75" t="str">
            <v>  ------</v>
          </cell>
          <cell r="F75" t="str">
            <v>  -------</v>
          </cell>
        </row>
        <row r="76">
          <cell r="A76" t="str">
            <v>Expected Operating Margin</v>
          </cell>
          <cell r="E76">
            <v>0</v>
          </cell>
          <cell r="F76">
            <v>0</v>
          </cell>
        </row>
        <row r="77">
          <cell r="A77" t="str">
            <v>    less: Fixed Costs</v>
          </cell>
          <cell r="E77">
            <v>0</v>
          </cell>
          <cell r="F77">
            <v>0</v>
          </cell>
        </row>
        <row r="78">
          <cell r="E78" t="str">
            <v>  ------</v>
          </cell>
          <cell r="F78" t="str">
            <v>  -------</v>
          </cell>
        </row>
        <row r="79">
          <cell r="A79" t="str">
            <v>Expected Net Revenue</v>
          </cell>
          <cell r="E79">
            <v>0</v>
          </cell>
          <cell r="F79">
            <v>0</v>
          </cell>
        </row>
        <row r="81">
          <cell r="A81" t="str">
            <v>      Break-even $/tonne to cover:</v>
          </cell>
          <cell r="E81" t="str">
            <v>Variable Costs</v>
          </cell>
          <cell r="G81">
            <v>0</v>
          </cell>
        </row>
        <row r="82">
          <cell r="E82" t="str">
            <v>Fixed Costs</v>
          </cell>
          <cell r="G82">
            <v>0</v>
          </cell>
        </row>
        <row r="83">
          <cell r="G83" t="str">
            <v>  -------</v>
          </cell>
        </row>
        <row r="84">
          <cell r="E84" t="str">
            <v>Total Costs</v>
          </cell>
          <cell r="G84">
            <v>0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6">
          <cell r="B86" t="str">
            <v>Chance of at least breaking even          ==&gt;</v>
          </cell>
          <cell r="G86">
            <v>0</v>
          </cell>
        </row>
        <row r="87">
          <cell r="B87" t="str">
            <v>Chance of at least</v>
          </cell>
          <cell r="D87">
            <v>0</v>
          </cell>
          <cell r="E87" t="str">
            <v>$/acre return  ==&gt;</v>
          </cell>
          <cell r="G87">
            <v>0</v>
          </cell>
          <cell r="I87">
            <v>0</v>
          </cell>
        </row>
        <row r="88">
          <cell r="B88" t="str">
            <v>Coefficient of variation                  ==&gt;</v>
          </cell>
          <cell r="G88">
            <v>0</v>
          </cell>
          <cell r="I88">
            <v>0</v>
          </cell>
        </row>
        <row r="89">
          <cell r="H89" t="str">
            <v>mn</v>
          </cell>
          <cell r="I89">
            <v>12.64</v>
          </cell>
        </row>
        <row r="90">
          <cell r="C90" t="str">
            <v>Returns $/acre</v>
          </cell>
          <cell r="E90" t="str">
            <v>Chances of at least</v>
          </cell>
          <cell r="H90" t="str">
            <v>ystd</v>
          </cell>
          <cell r="I90">
            <v>0</v>
          </cell>
        </row>
        <row r="91">
          <cell r="E91" t="str">
            <v>this return per acre</v>
          </cell>
          <cell r="H91" t="str">
            <v>pstd</v>
          </cell>
        </row>
        <row r="92">
          <cell r="H92" t="str">
            <v>nrstd</v>
          </cell>
          <cell r="I92">
            <v>0</v>
          </cell>
          <cell r="J92">
            <v>0</v>
          </cell>
        </row>
        <row r="93">
          <cell r="C93">
            <v>0</v>
          </cell>
          <cell r="E93" t="str">
            <v>       17 %</v>
          </cell>
          <cell r="I93">
            <v>0</v>
          </cell>
          <cell r="J93">
            <v>0</v>
          </cell>
        </row>
        <row r="94">
          <cell r="C94">
            <v>0</v>
          </cell>
          <cell r="E94" t="str">
            <v>       33 %</v>
          </cell>
          <cell r="H94" t="str">
            <v>z</v>
          </cell>
          <cell r="I94">
            <v>0</v>
          </cell>
          <cell r="J94">
            <v>0</v>
          </cell>
        </row>
        <row r="95">
          <cell r="C95">
            <v>0</v>
          </cell>
          <cell r="E95" t="str">
            <v>       50 %</v>
          </cell>
          <cell r="H95" t="str">
            <v>v1</v>
          </cell>
          <cell r="I95">
            <v>0</v>
          </cell>
          <cell r="J95">
            <v>0</v>
          </cell>
        </row>
        <row r="96">
          <cell r="C96">
            <v>0</v>
          </cell>
          <cell r="E96" t="str">
            <v>       67 %</v>
          </cell>
          <cell r="H96" t="str">
            <v>v2</v>
          </cell>
        </row>
        <row r="97">
          <cell r="C97">
            <v>0</v>
          </cell>
          <cell r="E97" t="str">
            <v>       83 %</v>
          </cell>
          <cell r="H97" t="str">
            <v>p(vx)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YER"/>
    </sheetNames>
    <sheetDataSet>
      <sheetData sheetId="0">
        <row r="1">
          <cell r="A1" t="str">
            <v>Layer 1</v>
          </cell>
          <cell r="C1" t="str">
            <v>LAYER ENTERPRISE BUDGET</v>
          </cell>
          <cell r="F1" t="str">
            <v>Revised: May '98</v>
          </cell>
        </row>
        <row r="2">
          <cell r="A2">
            <v>352</v>
          </cell>
          <cell r="E2" t="str">
            <v> Profit per Dozen: </v>
          </cell>
          <cell r="G2" t="e">
            <v>#REF!</v>
          </cell>
        </row>
        <row r="3">
          <cell r="A3" t="str">
            <v>Bird Quota</v>
          </cell>
          <cell r="E3">
            <v>15000</v>
          </cell>
          <cell r="F3" t="str">
            <v>Units</v>
          </cell>
        </row>
        <row r="4">
          <cell r="A4" t="str">
            <v>Additional quota units per cycle</v>
          </cell>
          <cell r="E4">
            <v>0</v>
          </cell>
          <cell r="F4" t="str">
            <v>Units</v>
          </cell>
          <cell r="K4">
            <v>0.04368</v>
          </cell>
        </row>
        <row r="5">
          <cell r="A5" t="str">
            <v>Death loss (laying flock) %</v>
          </cell>
          <cell r="E5">
            <v>6</v>
          </cell>
        </row>
        <row r="6">
          <cell r="A6" t="str">
            <v>Number of Flocks</v>
          </cell>
          <cell r="E6">
            <v>2</v>
          </cell>
        </row>
        <row r="7">
          <cell r="A7" t="str">
            <v>Number of weeks per cycle</v>
          </cell>
          <cell r="E7">
            <v>52</v>
          </cell>
          <cell r="F7" t="str">
            <v>weeks</v>
          </cell>
        </row>
        <row r="8">
          <cell r="A8" t="str">
            <v>Average Number of Laying Hens</v>
          </cell>
          <cell r="E8">
            <v>14775</v>
          </cell>
        </row>
        <row r="10">
          <cell r="E10" t="str">
            <v>     Opt.</v>
          </cell>
          <cell r="F10" t="str">
            <v>  Expected   Pess.</v>
          </cell>
        </row>
        <row r="11">
          <cell r="A11" t="str">
            <v>Pullet cost ($/pullet)</v>
          </cell>
          <cell r="E11">
            <v>3.75</v>
          </cell>
          <cell r="F11">
            <v>4</v>
          </cell>
          <cell r="G11">
            <v>4.25</v>
          </cell>
        </row>
        <row r="12">
          <cell r="A12" t="str">
            <v>Bird Productivity (total eggs/hen)</v>
          </cell>
          <cell r="E12">
            <v>300</v>
          </cell>
          <cell r="F12">
            <v>288</v>
          </cell>
          <cell r="G12">
            <v>276</v>
          </cell>
        </row>
        <row r="13">
          <cell r="A13" t="str">
            <v>Average Price per Dozen Eggs</v>
          </cell>
          <cell r="E13">
            <v>1.31</v>
          </cell>
          <cell r="F13">
            <v>1.26</v>
          </cell>
          <cell r="G13">
            <v>1.21</v>
          </cell>
        </row>
        <row r="14">
          <cell r="A14" t="str">
            <v>Feed Conversion (Kg per Dozen)</v>
          </cell>
          <cell r="E14">
            <v>1.54</v>
          </cell>
          <cell r="F14">
            <v>1.57</v>
          </cell>
          <cell r="G14">
            <v>1.6</v>
          </cell>
          <cell r="K14">
            <v>0</v>
          </cell>
        </row>
        <row r="15">
          <cell r="A15" t="str">
            <v>Purchased feed price ($'s per tonne)</v>
          </cell>
          <cell r="E15">
            <v>200</v>
          </cell>
          <cell r="F15">
            <v>222</v>
          </cell>
          <cell r="G15">
            <v>240</v>
          </cell>
          <cell r="K15" t="e">
            <v>#REF!</v>
          </cell>
        </row>
        <row r="16">
          <cell r="A16" t="str">
            <v>Salvage Value of Spent Hen ($/Hen)</v>
          </cell>
          <cell r="E16">
            <v>0.17</v>
          </cell>
          <cell r="F16">
            <v>0.15</v>
          </cell>
          <cell r="G16">
            <v>0.12</v>
          </cell>
          <cell r="K16" t="e">
            <v>#REF!</v>
          </cell>
        </row>
        <row r="17">
          <cell r="K17">
            <v>449012.25</v>
          </cell>
        </row>
        <row r="18">
          <cell r="A18" t="str">
            <v>Egg Production per bird (dozen)</v>
          </cell>
          <cell r="E18">
            <v>25</v>
          </cell>
          <cell r="F18">
            <v>24</v>
          </cell>
          <cell r="G18">
            <v>23</v>
          </cell>
          <cell r="K18">
            <v>26593.828301461213</v>
          </cell>
        </row>
        <row r="19">
          <cell r="A19" t="str">
            <v>Total Flock Production (dozen)</v>
          </cell>
          <cell r="E19">
            <v>369375</v>
          </cell>
          <cell r="F19">
            <v>354600</v>
          </cell>
          <cell r="G19">
            <v>339825</v>
          </cell>
        </row>
        <row r="20">
          <cell r="A20" t="str">
            <v>Gross Revenue From Egg Sales</v>
          </cell>
          <cell r="E20">
            <v>483881.25</v>
          </cell>
          <cell r="F20">
            <v>446796</v>
          </cell>
          <cell r="G20">
            <v>411188.25</v>
          </cell>
          <cell r="K20" t="str">
            <v>Tran!D3..G14</v>
          </cell>
        </row>
        <row r="21">
          <cell r="A21" t="str">
            <v>Gross Revenue From Spent Hens</v>
          </cell>
          <cell r="E21">
            <v>2511.75</v>
          </cell>
          <cell r="F21">
            <v>2216.25</v>
          </cell>
          <cell r="G21">
            <v>1773</v>
          </cell>
          <cell r="K21" t="str">
            <v>Allo!C3..J14</v>
          </cell>
        </row>
        <row r="22">
          <cell r="K22">
            <v>14775</v>
          </cell>
        </row>
        <row r="23">
          <cell r="A23" t="str">
            <v>=</v>
          </cell>
          <cell r="B23" t="str">
            <v>=</v>
          </cell>
          <cell r="C23" t="str">
            <v>=</v>
          </cell>
          <cell r="D23" t="str">
            <v>=</v>
          </cell>
          <cell r="E23" t="str">
            <v>=</v>
          </cell>
          <cell r="F23" t="str">
            <v>=</v>
          </cell>
          <cell r="G23" t="str">
            <v>=</v>
          </cell>
          <cell r="H23" t="str">
            <v>=</v>
          </cell>
          <cell r="I23" t="str">
            <v>=</v>
          </cell>
          <cell r="K23">
            <v>60900</v>
          </cell>
        </row>
        <row r="24">
          <cell r="A24" t="str">
            <v>Variable Costs:</v>
          </cell>
          <cell r="F24" t="str">
            <v>$ per</v>
          </cell>
          <cell r="G24" t="str">
            <v>$ per</v>
          </cell>
          <cell r="H24" t="str">
            <v>$ per</v>
          </cell>
          <cell r="K24">
            <v>123592.284</v>
          </cell>
        </row>
        <row r="25">
          <cell r="F25" t="str">
            <v>Dozen:</v>
          </cell>
          <cell r="G25" t="str">
            <v>Cycle:</v>
          </cell>
          <cell r="H25" t="str">
            <v>Year</v>
          </cell>
          <cell r="K25">
            <v>1000</v>
          </cell>
        </row>
        <row r="26">
          <cell r="A26" t="str">
            <v> Feed costs:</v>
          </cell>
          <cell r="K26">
            <v>12750</v>
          </cell>
        </row>
        <row r="27">
          <cell r="A27" t="str">
            <v>Purchased feed</v>
          </cell>
          <cell r="C27">
            <v>222</v>
          </cell>
          <cell r="D27" t="str">
            <v>($'s per tonne)</v>
          </cell>
          <cell r="F27">
            <v>0.34854</v>
          </cell>
          <cell r="G27">
            <v>123592.284</v>
          </cell>
          <cell r="H27">
            <v>123592.284</v>
          </cell>
          <cell r="K27">
            <v>76756.8</v>
          </cell>
        </row>
        <row r="28">
          <cell r="A28" t="str">
            <v>  kilograms/bird</v>
          </cell>
          <cell r="C28">
            <v>37.68</v>
          </cell>
          <cell r="D28" t="str">
            <v>(computed)</v>
          </cell>
          <cell r="K28">
            <v>0</v>
          </cell>
        </row>
        <row r="29">
          <cell r="A29" t="str">
            <v>  tonnes/cycle</v>
          </cell>
          <cell r="C29">
            <v>556.722</v>
          </cell>
          <cell r="D29" t="str">
            <v>(computed)</v>
          </cell>
        </row>
        <row r="30">
          <cell r="A30" t="str">
            <v>  tonnes/year</v>
          </cell>
          <cell r="C30">
            <v>556.722</v>
          </cell>
          <cell r="D30" t="str">
            <v>(computed)</v>
          </cell>
        </row>
        <row r="31">
          <cell r="A31" t="str">
            <v> Other1</v>
          </cell>
          <cell r="C31">
            <v>0</v>
          </cell>
          <cell r="D31" t="str">
            <v>(cost per cycle)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 Other2</v>
          </cell>
          <cell r="C32">
            <v>0</v>
          </cell>
          <cell r="D32" t="str">
            <v>(cost per cycle)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  Crop Transfers *</v>
          </cell>
          <cell r="F33" t="e">
            <v>#REF!</v>
          </cell>
          <cell r="G33" t="e">
            <v>#REF!</v>
          </cell>
          <cell r="H33" t="e">
            <v>#REF!</v>
          </cell>
        </row>
        <row r="34">
          <cell r="A34" t="str">
            <v>  -------</v>
          </cell>
          <cell r="F34" t="str">
            <v>-------</v>
          </cell>
          <cell r="G34" t="str">
            <v>-------</v>
          </cell>
          <cell r="H34" t="str">
            <v>-------</v>
          </cell>
        </row>
        <row r="35">
          <cell r="A35" t="str">
            <v>  Total Feed Costs</v>
          </cell>
          <cell r="F35" t="e">
            <v>#REF!</v>
          </cell>
          <cell r="G35" t="e">
            <v>#REF!</v>
          </cell>
          <cell r="H35" t="e">
            <v>#REF!</v>
          </cell>
        </row>
        <row r="36">
          <cell r="A36" t="str">
            <v>   * be careful not to double count crop </v>
          </cell>
        </row>
        <row r="37">
          <cell r="A37" t="str">
            <v>     transfers</v>
          </cell>
        </row>
        <row r="38">
          <cell r="A38" t="str">
            <v> Number of Pullets Purchased</v>
          </cell>
          <cell r="E38">
            <v>15225</v>
          </cell>
        </row>
        <row r="39">
          <cell r="A39" t="str">
            <v> Expected Pullet Purchases at:</v>
          </cell>
          <cell r="E39">
            <v>4</v>
          </cell>
          <cell r="F39">
            <v>0.17174280879864637</v>
          </cell>
          <cell r="G39">
            <v>60900</v>
          </cell>
          <cell r="H39">
            <v>60900</v>
          </cell>
        </row>
        <row r="42">
          <cell r="C42" t="str">
            <v>          Comparison</v>
          </cell>
          <cell r="F42" t="str">
            <v>  Actual</v>
          </cell>
        </row>
        <row r="43">
          <cell r="D43" t="str">
            <v> $/Dozen</v>
          </cell>
          <cell r="F43" t="str">
            <v>$/Dozen:</v>
          </cell>
          <cell r="G43" t="str">
            <v>$/Cycle:</v>
          </cell>
          <cell r="H43" t="str">
            <v>$/Year:</v>
          </cell>
        </row>
        <row r="44">
          <cell r="A44" t="str">
            <v> Veterinary &amp; Medicine</v>
          </cell>
          <cell r="D44">
            <v>0.002</v>
          </cell>
          <cell r="F44">
            <v>0.0028200789622109417</v>
          </cell>
          <cell r="G44">
            <v>1000</v>
          </cell>
          <cell r="H44">
            <v>1000</v>
          </cell>
        </row>
        <row r="45">
          <cell r="A45" t="str">
            <v> Heat and Hydro</v>
          </cell>
          <cell r="D45">
            <v>0.03</v>
          </cell>
          <cell r="F45">
            <v>0.027495769881556685</v>
          </cell>
          <cell r="G45">
            <v>9750</v>
          </cell>
          <cell r="H45">
            <v>9750</v>
          </cell>
        </row>
        <row r="46">
          <cell r="A46" t="str">
            <v> Insurance </v>
          </cell>
          <cell r="D46">
            <v>0.005</v>
          </cell>
          <cell r="F46">
            <v>0.004230118443316413</v>
          </cell>
          <cell r="G46">
            <v>1500</v>
          </cell>
          <cell r="H46">
            <v>1500</v>
          </cell>
        </row>
        <row r="47">
          <cell r="A47" t="str">
            <v> Trucking</v>
          </cell>
          <cell r="D47">
            <v>0.01</v>
          </cell>
          <cell r="F47">
            <v>0.008460236886632826</v>
          </cell>
          <cell r="G47">
            <v>3000</v>
          </cell>
          <cell r="H47">
            <v>3000</v>
          </cell>
        </row>
        <row r="48">
          <cell r="A48" t="str">
            <v> Bedding:units/day</v>
          </cell>
          <cell r="C48">
            <v>0</v>
          </cell>
        </row>
        <row r="49">
          <cell r="B49" t="str">
            <v>$'s/unit</v>
          </cell>
          <cell r="C49">
            <v>10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 Other (Miscellaneous)</v>
          </cell>
          <cell r="D51">
            <v>0.1</v>
          </cell>
          <cell r="F51">
            <v>0.004230118443316413</v>
          </cell>
          <cell r="G51">
            <v>1500</v>
          </cell>
          <cell r="H51">
            <v>1500</v>
          </cell>
        </row>
        <row r="52">
          <cell r="A52" t="str">
            <v> Marketing Board Fees</v>
          </cell>
          <cell r="F52">
            <v>0.208</v>
          </cell>
          <cell r="G52">
            <v>73756.8</v>
          </cell>
          <cell r="H52">
            <v>73756.8</v>
          </cell>
        </row>
        <row r="53">
          <cell r="A53" t="str">
            <v> Custom Work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5">
          <cell r="C55" t="str">
            <v>     Comparison  Enterprise</v>
          </cell>
        </row>
        <row r="56">
          <cell r="C56" t="str">
            <v>     $/Dozen:  $ Allocated:</v>
          </cell>
          <cell r="F56" t="str">
            <v>$/Dozen:</v>
          </cell>
          <cell r="G56" t="str">
            <v>$/Cycle:</v>
          </cell>
          <cell r="H56" t="str">
            <v>$/Year:</v>
          </cell>
        </row>
        <row r="57">
          <cell r="A57" t="str">
            <v> Fuel</v>
          </cell>
          <cell r="D57">
            <v>0.01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K57" t="str">
            <v>Wfarm!L4</v>
          </cell>
        </row>
        <row r="58">
          <cell r="A58" t="str">
            <v> Mach. Repair &amp; Maint.</v>
          </cell>
          <cell r="D58">
            <v>0.01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K58" t="str">
            <v>Wfarm!L5</v>
          </cell>
        </row>
        <row r="59">
          <cell r="A59" t="str">
            <v> Bldg. Repair &amp; Maint.</v>
          </cell>
          <cell r="D59">
            <v>0.02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K59" t="str">
            <v>Wfarm!L6</v>
          </cell>
        </row>
        <row r="60">
          <cell r="A60" t="str">
            <v> Rent and Labour</v>
          </cell>
          <cell r="D60">
            <v>0.02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K60" t="str">
            <v>Wfarm!L7</v>
          </cell>
        </row>
        <row r="61">
          <cell r="A61" t="str">
            <v> General Variable Costs</v>
          </cell>
          <cell r="D61">
            <v>0.01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K61" t="str">
            <v>Wfarm!L8</v>
          </cell>
        </row>
        <row r="63">
          <cell r="A63" t="str">
            <v>Interest on</v>
          </cell>
          <cell r="D63" t="str">
            <v>(% Interest)</v>
          </cell>
        </row>
        <row r="64">
          <cell r="A64" t="str">
            <v>       Operating Capital</v>
          </cell>
          <cell r="D64">
            <v>8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J64">
            <v>4000</v>
          </cell>
          <cell r="K64" t="str">
            <v>Wfarm!L9</v>
          </cell>
        </row>
        <row r="65">
          <cell r="A65" t="str">
            <v>Operating Capital Required</v>
          </cell>
          <cell r="D65">
            <v>50000</v>
          </cell>
          <cell r="F65" t="str">
            <v>-------</v>
          </cell>
          <cell r="G65" t="str">
            <v>-------</v>
          </cell>
          <cell r="H65" t="str">
            <v>-------</v>
          </cell>
        </row>
        <row r="66">
          <cell r="A66" t="str">
            <v>Total Variable Costs</v>
          </cell>
          <cell r="F66" t="e">
            <v>#REF!</v>
          </cell>
          <cell r="G66" t="e">
            <v>#REF!</v>
          </cell>
          <cell r="H66" t="e">
            <v>#REF!</v>
          </cell>
        </row>
        <row r="67">
          <cell r="F67" t="str">
            <v>-------</v>
          </cell>
          <cell r="G67" t="str">
            <v>-------</v>
          </cell>
          <cell r="H67" t="str">
            <v>-------</v>
          </cell>
        </row>
        <row r="70">
          <cell r="C70" t="str">
            <v>     Comparison  Enterprise</v>
          </cell>
        </row>
        <row r="71">
          <cell r="A71" t="str">
            <v>Fixed Costs:</v>
          </cell>
          <cell r="C71" t="str">
            <v>       $/Dozen: $ Allocated:</v>
          </cell>
          <cell r="F71" t="str">
            <v>$/Dozen:</v>
          </cell>
          <cell r="G71" t="str">
            <v>$/Cycle:</v>
          </cell>
          <cell r="H71" t="str">
            <v>$/Year:</v>
          </cell>
        </row>
        <row r="72">
          <cell r="A72" t="str">
            <v> Depreciation</v>
          </cell>
          <cell r="D72">
            <v>0.031</v>
          </cell>
          <cell r="E72" t="e">
            <v>#REF!</v>
          </cell>
          <cell r="F72" t="e">
            <v>#REF!</v>
          </cell>
          <cell r="G72" t="e">
            <v>#REF!</v>
          </cell>
          <cell r="H72" t="e">
            <v>#REF!</v>
          </cell>
          <cell r="K72" t="str">
            <v>Wfarm!K4</v>
          </cell>
        </row>
        <row r="73">
          <cell r="A73" t="str">
            <v> Interest on Term Loans</v>
          </cell>
          <cell r="D73">
            <v>0.077</v>
          </cell>
          <cell r="E73" t="e">
            <v>#REF!</v>
          </cell>
          <cell r="F73" t="e">
            <v>#REF!</v>
          </cell>
          <cell r="G73" t="e">
            <v>#REF!</v>
          </cell>
          <cell r="H73" t="e">
            <v>#REF!</v>
          </cell>
          <cell r="K73" t="str">
            <v>Wfarm!K5</v>
          </cell>
        </row>
        <row r="74">
          <cell r="A74" t="str">
            <v> Long-term Leases</v>
          </cell>
          <cell r="D74">
            <v>0.006</v>
          </cell>
          <cell r="E74" t="e">
            <v>#REF!</v>
          </cell>
          <cell r="F74" t="e">
            <v>#REF!</v>
          </cell>
          <cell r="G74" t="e">
            <v>#REF!</v>
          </cell>
          <cell r="H74" t="e">
            <v>#REF!</v>
          </cell>
          <cell r="K74" t="str">
            <v>Wfarm!K6</v>
          </cell>
        </row>
        <row r="75">
          <cell r="A75" t="str">
            <v> General Fixed Costs</v>
          </cell>
          <cell r="D75">
            <v>0.006</v>
          </cell>
          <cell r="E75" t="e">
            <v>#REF!</v>
          </cell>
          <cell r="F75" t="e">
            <v>#REF!</v>
          </cell>
          <cell r="G75" t="e">
            <v>#REF!</v>
          </cell>
          <cell r="H75" t="e">
            <v>#REF!</v>
          </cell>
          <cell r="K75" t="str">
            <v>Wfarm!K7</v>
          </cell>
        </row>
        <row r="76">
          <cell r="F76" t="str">
            <v>-------</v>
          </cell>
          <cell r="G76" t="str">
            <v>-------</v>
          </cell>
          <cell r="H76" t="str">
            <v>-------</v>
          </cell>
        </row>
        <row r="77">
          <cell r="A77" t="str">
            <v>Total Fixed Costs</v>
          </cell>
          <cell r="F77" t="e">
            <v>#REF!</v>
          </cell>
          <cell r="G77" t="e">
            <v>#REF!</v>
          </cell>
          <cell r="H77" t="e">
            <v>#REF!</v>
          </cell>
        </row>
        <row r="80">
          <cell r="A80" t="str">
            <v>=</v>
          </cell>
          <cell r="B80" t="str">
            <v>=</v>
          </cell>
          <cell r="C80" t="str">
            <v>=</v>
          </cell>
          <cell r="D80" t="str">
            <v>=</v>
          </cell>
          <cell r="E80" t="str">
            <v>=</v>
          </cell>
          <cell r="F80" t="str">
            <v>=</v>
          </cell>
          <cell r="G80" t="str">
            <v>=</v>
          </cell>
          <cell r="H80" t="str">
            <v>=</v>
          </cell>
        </row>
        <row r="81">
          <cell r="F81" t="str">
            <v> $/Dozen:</v>
          </cell>
          <cell r="G81" t="str">
            <v>$/Cycle:</v>
          </cell>
          <cell r="H81" t="str">
            <v>$/Year:</v>
          </cell>
        </row>
        <row r="82">
          <cell r="A82" t="str">
            <v>Total Expected Revenues</v>
          </cell>
          <cell r="F82">
            <v>1.26625</v>
          </cell>
          <cell r="G82">
            <v>449012.25</v>
          </cell>
          <cell r="H82">
            <v>449012.25</v>
          </cell>
        </row>
        <row r="83">
          <cell r="A83" t="str">
            <v>    less Feed &amp; Pullet Costs</v>
          </cell>
          <cell r="F83">
            <v>0.5202828087986464</v>
          </cell>
          <cell r="G83">
            <v>184492.28399999999</v>
          </cell>
          <cell r="H83">
            <v>184492.28399999999</v>
          </cell>
        </row>
        <row r="84">
          <cell r="A84" t="str">
            <v>    -----</v>
          </cell>
          <cell r="B84" t="str">
            <v>-</v>
          </cell>
          <cell r="F84" t="str">
            <v> ------- </v>
          </cell>
          <cell r="G84" t="str">
            <v> ------- </v>
          </cell>
          <cell r="H84" t="str">
            <v> ------- </v>
          </cell>
        </row>
        <row r="85">
          <cell r="A85" t="str">
            <v> NET of FEED &amp; PULLET COSTS</v>
          </cell>
          <cell r="F85">
            <v>0.7459671912013537</v>
          </cell>
          <cell r="G85">
            <v>264519.966</v>
          </cell>
          <cell r="H85">
            <v>264519.966</v>
          </cell>
        </row>
        <row r="86">
          <cell r="A86" t="str">
            <v>    less Remainder of Variable Costs</v>
          </cell>
          <cell r="F86" t="e">
            <v>#REF!</v>
          </cell>
          <cell r="G86" t="e">
            <v>#REF!</v>
          </cell>
          <cell r="H86" t="e">
            <v>#REF!</v>
          </cell>
        </row>
        <row r="87">
          <cell r="A87" t="str">
            <v>    -----</v>
          </cell>
          <cell r="B87" t="str">
            <v>-</v>
          </cell>
          <cell r="F87" t="str">
            <v> ------- </v>
          </cell>
          <cell r="G87" t="str">
            <v> ------- </v>
          </cell>
          <cell r="H87" t="str">
            <v> ------- </v>
          </cell>
        </row>
        <row r="88">
          <cell r="A88" t="str">
            <v>Expected Operating Margin</v>
          </cell>
          <cell r="F88" t="e">
            <v>#REF!</v>
          </cell>
          <cell r="G88" t="e">
            <v>#REF!</v>
          </cell>
          <cell r="H88" t="e">
            <v>#REF!</v>
          </cell>
        </row>
        <row r="89">
          <cell r="A89" t="str">
            <v>    less Fixed Costs</v>
          </cell>
          <cell r="F89" t="e">
            <v>#REF!</v>
          </cell>
          <cell r="G89" t="e">
            <v>#REF!</v>
          </cell>
          <cell r="H89" t="e">
            <v>#REF!</v>
          </cell>
        </row>
        <row r="90">
          <cell r="A90" t="str">
            <v>    -----</v>
          </cell>
          <cell r="B90" t="str">
            <v>-</v>
          </cell>
          <cell r="F90" t="str">
            <v> ------- </v>
          </cell>
          <cell r="G90" t="str">
            <v> ------- </v>
          </cell>
          <cell r="H90" t="str">
            <v> ------- </v>
          </cell>
        </row>
        <row r="91">
          <cell r="A91" t="str">
            <v>Expected Net Revenue</v>
          </cell>
          <cell r="F91" t="e">
            <v>#REF!</v>
          </cell>
          <cell r="G91" t="e">
            <v>#REF!</v>
          </cell>
          <cell r="H91" t="e">
            <v>#REF!</v>
          </cell>
        </row>
        <row r="92">
          <cell r="F92" t="str">
            <v> =======</v>
          </cell>
          <cell r="G92" t="str">
            <v> =======</v>
          </cell>
          <cell r="H92" t="str">
            <v> =======</v>
          </cell>
        </row>
        <row r="93">
          <cell r="A93" t="str">
            <v>Expected break-even dollars per dozen</v>
          </cell>
        </row>
        <row r="94">
          <cell r="A94" t="str">
            <v>sold; needed to cover:</v>
          </cell>
          <cell r="F94" t="str">
            <v>Variable Costs</v>
          </cell>
          <cell r="H94" t="e">
            <v>#REF!</v>
          </cell>
        </row>
        <row r="95">
          <cell r="F95" t="str">
            <v>Fixed Costs</v>
          </cell>
          <cell r="H95" t="e">
            <v>#REF!</v>
          </cell>
        </row>
        <row r="96">
          <cell r="H96" t="str">
            <v>-</v>
          </cell>
        </row>
        <row r="97">
          <cell r="F97" t="str">
            <v>Total Costs</v>
          </cell>
          <cell r="H97" t="e">
            <v>#REF!</v>
          </cell>
        </row>
        <row r="99">
          <cell r="A99" t="str">
            <v>=</v>
          </cell>
          <cell r="B99" t="str">
            <v>=</v>
          </cell>
          <cell r="C99" t="str">
            <v>=</v>
          </cell>
          <cell r="D99" t="str">
            <v>=</v>
          </cell>
          <cell r="E99" t="str">
            <v>=</v>
          </cell>
          <cell r="F99" t="str">
            <v>=</v>
          </cell>
          <cell r="G99" t="str">
            <v>=</v>
          </cell>
          <cell r="H99" t="str">
            <v>=</v>
          </cell>
          <cell r="I99" t="str">
            <v>=</v>
          </cell>
        </row>
        <row r="102">
          <cell r="G102" t="str">
            <v>Var(Rev)</v>
          </cell>
          <cell r="H102">
            <v>660926972.2500005</v>
          </cell>
        </row>
        <row r="103">
          <cell r="A103" t="str">
            <v>Chance of at least breaking even       ==&gt;</v>
          </cell>
          <cell r="F103" t="e">
            <v>#REF!</v>
          </cell>
          <cell r="G103" t="str">
            <v>Var(SpHn)</v>
          </cell>
          <cell r="H103">
            <v>136437.8906250001</v>
          </cell>
        </row>
        <row r="104">
          <cell r="A104" t="str">
            <v>Chance of at least</v>
          </cell>
          <cell r="C104">
            <v>0</v>
          </cell>
          <cell r="D104" t="str">
            <v>$/year retn ==&gt;</v>
          </cell>
          <cell r="F104" t="e">
            <v>#REF!</v>
          </cell>
          <cell r="G104" t="str">
            <v>Var(PCst)</v>
          </cell>
          <cell r="H104">
            <v>14062500</v>
          </cell>
        </row>
        <row r="105">
          <cell r="A105" t="str">
            <v>Coefficient of variation               ==&gt;</v>
          </cell>
          <cell r="F105">
            <v>0.05922740036927993</v>
          </cell>
          <cell r="G105" t="str">
            <v>Var(FCst)</v>
          </cell>
          <cell r="H105">
            <v>32096706.961974062</v>
          </cell>
        </row>
        <row r="106">
          <cell r="G106" t="str">
            <v>Var(NRv)</v>
          </cell>
          <cell r="H106">
            <v>707231703.7275995</v>
          </cell>
        </row>
        <row r="107">
          <cell r="B107" t="str">
            <v>          Returns</v>
          </cell>
          <cell r="E107" t="str">
            <v>Chance of at least</v>
          </cell>
          <cell r="G107" t="str">
            <v>SumStd</v>
          </cell>
          <cell r="H107">
            <v>26593.828301461213</v>
          </cell>
        </row>
        <row r="108">
          <cell r="B108" t="str">
            <v>$/dozen</v>
          </cell>
          <cell r="C108" t="str">
            <v>$/year</v>
          </cell>
          <cell r="D108" t="str">
            <v>$/cycle</v>
          </cell>
          <cell r="E108" t="str">
            <v>    this return  </v>
          </cell>
          <cell r="G108" t="str">
            <v>Stddoz</v>
          </cell>
          <cell r="H108">
            <v>0.07499669571760072</v>
          </cell>
        </row>
        <row r="109">
          <cell r="G109" t="str">
            <v>CycleStd</v>
          </cell>
          <cell r="H109">
            <v>26593.828301461213</v>
          </cell>
        </row>
        <row r="110">
          <cell r="B110" t="e">
            <v>#REF!</v>
          </cell>
          <cell r="C110" t="e">
            <v>#REF!</v>
          </cell>
          <cell r="D110" t="e">
            <v>#REF!</v>
          </cell>
          <cell r="E110" t="str">
            <v>       17 %</v>
          </cell>
        </row>
        <row r="111">
          <cell r="B111" t="e">
            <v>#REF!</v>
          </cell>
          <cell r="C111" t="e">
            <v>#REF!</v>
          </cell>
          <cell r="D111" t="e">
            <v>#REF!</v>
          </cell>
          <cell r="E111" t="str">
            <v>       33 %</v>
          </cell>
        </row>
        <row r="112">
          <cell r="B112" t="e">
            <v>#REF!</v>
          </cell>
          <cell r="C112" t="e">
            <v>#REF!</v>
          </cell>
          <cell r="D112" t="e">
            <v>#REF!</v>
          </cell>
          <cell r="E112" t="str">
            <v>       50 %</v>
          </cell>
          <cell r="H112" t="str">
            <v> +b.e.</v>
          </cell>
          <cell r="I112" t="str">
            <v> +profit</v>
          </cell>
        </row>
        <row r="113">
          <cell r="B113" t="e">
            <v>#REF!</v>
          </cell>
          <cell r="C113" t="e">
            <v>#REF!</v>
          </cell>
          <cell r="D113" t="e">
            <v>#REF!</v>
          </cell>
          <cell r="E113" t="str">
            <v>       67 %</v>
          </cell>
          <cell r="G113" t="str">
            <v>z</v>
          </cell>
          <cell r="H113" t="e">
            <v>#REF!</v>
          </cell>
          <cell r="I113" t="e">
            <v>#REF!</v>
          </cell>
        </row>
        <row r="114">
          <cell r="B114" t="e">
            <v>#REF!</v>
          </cell>
          <cell r="C114" t="e">
            <v>#REF!</v>
          </cell>
          <cell r="D114" t="e">
            <v>#REF!</v>
          </cell>
          <cell r="E114" t="str">
            <v>       83 %</v>
          </cell>
          <cell r="G114" t="str">
            <v>v1</v>
          </cell>
          <cell r="H114" t="e">
            <v>#REF!</v>
          </cell>
          <cell r="I114" t="e">
            <v>#REF!</v>
          </cell>
        </row>
        <row r="115">
          <cell r="G115" t="str">
            <v>v2</v>
          </cell>
          <cell r="H115" t="e">
            <v>#REF!</v>
          </cell>
          <cell r="I115" t="e">
            <v>#REF!</v>
          </cell>
        </row>
        <row r="116">
          <cell r="D116" t="str">
            <v>- End of Budget -</v>
          </cell>
          <cell r="G116" t="str">
            <v>p(vx)</v>
          </cell>
          <cell r="H116" t="e">
            <v>#REF!</v>
          </cell>
          <cell r="I116" t="e">
            <v>#REF!</v>
          </cell>
        </row>
        <row r="117">
          <cell r="A117" t="str">
            <v>=</v>
          </cell>
          <cell r="B117" t="str">
            <v>=</v>
          </cell>
          <cell r="C117" t="str">
            <v>=</v>
          </cell>
          <cell r="D117" t="str">
            <v>=</v>
          </cell>
          <cell r="E117" t="str">
            <v>=</v>
          </cell>
          <cell r="F117" t="str">
            <v>=</v>
          </cell>
          <cell r="G117" t="str">
            <v>=</v>
          </cell>
          <cell r="H117" t="str">
            <v>=</v>
          </cell>
          <cell r="I117" t="str">
            <v>=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STUR"/>
    </sheetNames>
    <sheetDataSet>
      <sheetData sheetId="0">
        <row r="1">
          <cell r="A1" t="str">
            <v>Pastur 1</v>
          </cell>
          <cell r="C1" t="str">
            <v>PASTURE ENTERPRISE BUDGET</v>
          </cell>
          <cell r="G1" t="str">
            <v> Revised: May '98</v>
          </cell>
        </row>
        <row r="2">
          <cell r="A2">
            <v>703</v>
          </cell>
          <cell r="F2" t="str">
            <v>Profit Per Acre</v>
          </cell>
          <cell r="H2" t="e">
            <v>#REF!</v>
          </cell>
        </row>
        <row r="3">
          <cell r="B3" t="str">
            <v>Number of Acres =</v>
          </cell>
          <cell r="D3">
            <v>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  <cell r="G4" t="str">
            <v>=</v>
          </cell>
          <cell r="H4" t="str">
            <v>=</v>
          </cell>
        </row>
        <row r="5">
          <cell r="B5" t="str">
            <v>  Optimistic</v>
          </cell>
          <cell r="D5" t="str">
            <v>  Expected</v>
          </cell>
          <cell r="F5" t="str">
            <v> Pessimistic</v>
          </cell>
        </row>
        <row r="6">
          <cell r="A6" t="str">
            <v>Tonne/ac</v>
          </cell>
          <cell r="B6">
            <v>4</v>
          </cell>
          <cell r="D6">
            <v>3</v>
          </cell>
          <cell r="F6">
            <v>1</v>
          </cell>
          <cell r="G6" t="str">
            <v>  Hay Equivalents</v>
          </cell>
        </row>
        <row r="7">
          <cell r="A7" t="str">
            <v>$/tonne</v>
          </cell>
          <cell r="B7">
            <v>75</v>
          </cell>
          <cell r="D7">
            <v>60</v>
          </cell>
          <cell r="F7">
            <v>50</v>
          </cell>
        </row>
        <row r="8">
          <cell r="A8" t="str">
            <v>Prod'n  t</v>
          </cell>
          <cell r="B8">
            <v>4</v>
          </cell>
          <cell r="D8">
            <v>3</v>
          </cell>
          <cell r="F8">
            <v>1</v>
          </cell>
        </row>
        <row r="9">
          <cell r="A9" t="str">
            <v>=</v>
          </cell>
          <cell r="B9" t="str">
            <v>=</v>
          </cell>
          <cell r="C9" t="str">
            <v>=</v>
          </cell>
          <cell r="D9" t="str">
            <v>=</v>
          </cell>
          <cell r="E9" t="str">
            <v>=</v>
          </cell>
          <cell r="F9" t="str">
            <v>=</v>
          </cell>
          <cell r="G9" t="str">
            <v>=</v>
          </cell>
          <cell r="H9" t="str">
            <v>=</v>
          </cell>
        </row>
        <row r="10">
          <cell r="A10" t="str">
            <v>  Crop Insurance</v>
          </cell>
        </row>
        <row r="11">
          <cell r="A11" t="str">
            <v>   C.I. Premium/ac:</v>
          </cell>
          <cell r="D11">
            <v>6</v>
          </cell>
        </row>
        <row r="12">
          <cell r="A12" t="str">
            <v>   Level of Coverage</v>
          </cell>
          <cell r="D12">
            <v>0.83</v>
          </cell>
        </row>
        <row r="13">
          <cell r="A13" t="str">
            <v>   Guaranteed Yield/ac.</v>
          </cell>
          <cell r="D13">
            <v>2.4899999999999998</v>
          </cell>
          <cell r="K13">
            <v>0</v>
          </cell>
        </row>
        <row r="14">
          <cell r="A14" t="str">
            <v>   Probability of a payout</v>
          </cell>
          <cell r="D14">
            <v>0.3669226765341138</v>
          </cell>
          <cell r="K14">
            <v>22.66051066304897</v>
          </cell>
        </row>
        <row r="15">
          <cell r="A15" t="str">
            <v>   Expected Payout/ac</v>
          </cell>
          <cell r="D15">
            <v>22.66051066304897</v>
          </cell>
          <cell r="K15" t="e">
            <v>#REF!</v>
          </cell>
        </row>
        <row r="16">
          <cell r="D16">
            <v>0.3669226765341138</v>
          </cell>
          <cell r="K16" t="e">
            <v>#REF!</v>
          </cell>
        </row>
        <row r="17">
          <cell r="A17" t="str">
            <v> Participate in CI? (y/n)</v>
          </cell>
          <cell r="D17" t="str">
            <v>Yes</v>
          </cell>
          <cell r="K17">
            <v>180</v>
          </cell>
        </row>
        <row r="18">
          <cell r="A18" t="str">
            <v>=</v>
          </cell>
          <cell r="B18" t="str">
            <v>=</v>
          </cell>
          <cell r="C18" t="str">
            <v>=</v>
          </cell>
          <cell r="D18" t="str">
            <v>=</v>
          </cell>
          <cell r="E18" t="str">
            <v>=</v>
          </cell>
          <cell r="F18" t="str">
            <v>=</v>
          </cell>
          <cell r="G18" t="str">
            <v>=</v>
          </cell>
          <cell r="H18" t="str">
            <v>=</v>
          </cell>
          <cell r="K18">
            <v>94.60638167888442</v>
          </cell>
        </row>
        <row r="19">
          <cell r="D19" t="str">
            <v>Unit/Ac</v>
          </cell>
          <cell r="E19" t="str">
            <v>Number</v>
          </cell>
          <cell r="F19" t="str">
            <v>Cost/Unit</v>
          </cell>
          <cell r="G19" t="str">
            <v>$/Acre</v>
          </cell>
          <cell r="H19" t="str">
            <v>$/Year</v>
          </cell>
          <cell r="K19">
            <v>3</v>
          </cell>
        </row>
        <row r="20">
          <cell r="A20" t="str">
            <v>Expenses</v>
          </cell>
          <cell r="D20" t="str">
            <v>-------</v>
          </cell>
          <cell r="E20" t="str">
            <v>  ------</v>
          </cell>
          <cell r="F20" t="str">
            <v>-</v>
          </cell>
          <cell r="G20" t="str">
            <v>  ------</v>
          </cell>
          <cell r="H20" t="str">
            <v>  -------</v>
          </cell>
          <cell r="K20">
            <v>60</v>
          </cell>
        </row>
        <row r="21">
          <cell r="A21" t="str">
            <v>Variable Costs:</v>
          </cell>
          <cell r="K21" t="str">
            <v>Allo!C3..J14</v>
          </cell>
        </row>
        <row r="22">
          <cell r="A22" t="str">
            <v> Seed (Establishment - 4yr)</v>
          </cell>
          <cell r="D22" t="str">
            <v>kg</v>
          </cell>
          <cell r="E22">
            <v>7.71</v>
          </cell>
          <cell r="F22">
            <v>7</v>
          </cell>
          <cell r="G22">
            <v>53.97</v>
          </cell>
          <cell r="H22">
            <v>13.4925</v>
          </cell>
          <cell r="K22">
            <v>1</v>
          </cell>
        </row>
        <row r="23">
          <cell r="A23" t="str">
            <v> Seed Treatment</v>
          </cell>
          <cell r="D23" t="str">
            <v>$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13.4925</v>
          </cell>
        </row>
        <row r="24">
          <cell r="K24">
            <v>49.917500000000004</v>
          </cell>
        </row>
        <row r="25">
          <cell r="A25" t="str">
            <v> Fertilizer   #1</v>
          </cell>
          <cell r="C25" t="str">
            <v>45-0-0</v>
          </cell>
          <cell r="D25" t="str">
            <v>kg</v>
          </cell>
          <cell r="E25">
            <v>68</v>
          </cell>
          <cell r="F25">
            <v>0.36</v>
          </cell>
          <cell r="G25">
            <v>24.48</v>
          </cell>
          <cell r="H25">
            <v>24.48</v>
          </cell>
          <cell r="K25">
            <v>21.86</v>
          </cell>
        </row>
        <row r="26">
          <cell r="A26" t="str">
            <v>Establishment #2</v>
          </cell>
          <cell r="C26" t="str">
            <v>8-32-16</v>
          </cell>
          <cell r="D26" t="str">
            <v>kg</v>
          </cell>
          <cell r="E26">
            <v>175</v>
          </cell>
          <cell r="F26">
            <v>0.17</v>
          </cell>
          <cell r="G26">
            <v>29.750000000000004</v>
          </cell>
          <cell r="H26">
            <v>7.437500000000001</v>
          </cell>
          <cell r="K26">
            <v>6</v>
          </cell>
        </row>
        <row r="27">
          <cell r="A27" t="str">
            <v>              #3</v>
          </cell>
          <cell r="C27" t="str">
            <v>0-0-62</v>
          </cell>
          <cell r="D27" t="str">
            <v>kg</v>
          </cell>
          <cell r="E27">
            <v>150</v>
          </cell>
          <cell r="F27">
            <v>0.12</v>
          </cell>
          <cell r="G27">
            <v>18</v>
          </cell>
          <cell r="H27">
            <v>18</v>
          </cell>
          <cell r="K27">
            <v>0</v>
          </cell>
        </row>
        <row r="28">
          <cell r="K28">
            <v>0</v>
          </cell>
        </row>
        <row r="29">
          <cell r="D29" t="str">
            <v>Unit/Ac</v>
          </cell>
          <cell r="E29" t="str">
            <v>Number</v>
          </cell>
          <cell r="F29" t="str">
            <v>Cost/Unit</v>
          </cell>
          <cell r="G29" t="str">
            <v>$/Acre</v>
          </cell>
          <cell r="H29" t="str">
            <v>$/Year</v>
          </cell>
        </row>
        <row r="30">
          <cell r="D30" t="str">
            <v>-------</v>
          </cell>
          <cell r="E30" t="str">
            <v>  ------</v>
          </cell>
          <cell r="F30" t="str">
            <v>-</v>
          </cell>
          <cell r="G30" t="str">
            <v>  ------</v>
          </cell>
          <cell r="H30" t="str">
            <v>  -------</v>
          </cell>
        </row>
        <row r="31">
          <cell r="A31" t="str">
            <v> Herbicide </v>
          </cell>
          <cell r="J31" t="str">
            <v>Grip prob factor (component of grip)</v>
          </cell>
          <cell r="K31" t="str">
            <v>  N/A</v>
          </cell>
        </row>
        <row r="32">
          <cell r="A32" t="str">
            <v>   Broadleaf Herbicides</v>
          </cell>
          <cell r="D32" t="str">
            <v>kg or l</v>
          </cell>
          <cell r="E32">
            <v>1</v>
          </cell>
          <cell r="F32">
            <v>8.9</v>
          </cell>
          <cell r="G32">
            <v>8.9</v>
          </cell>
          <cell r="H32">
            <v>8.9</v>
          </cell>
          <cell r="J32" t="str">
            <v>C.I. prob factor (component of Crop Insurance)</v>
          </cell>
          <cell r="K32">
            <v>1.1131078</v>
          </cell>
        </row>
        <row r="33">
          <cell r="A33" t="str">
            <v>   Other Herbicides</v>
          </cell>
          <cell r="D33" t="str">
            <v>kg or l</v>
          </cell>
          <cell r="E33">
            <v>0.8</v>
          </cell>
          <cell r="F33">
            <v>16.2</v>
          </cell>
          <cell r="G33">
            <v>12.96</v>
          </cell>
          <cell r="H33">
            <v>12.96</v>
          </cell>
          <cell r="K33">
            <v>6</v>
          </cell>
        </row>
        <row r="34">
          <cell r="A34" t="str">
            <v> Crop Insurance</v>
          </cell>
          <cell r="D34" t="str">
            <v>Insurance</v>
          </cell>
          <cell r="E34">
            <v>1</v>
          </cell>
          <cell r="F34">
            <v>6</v>
          </cell>
          <cell r="G34">
            <v>6</v>
          </cell>
          <cell r="H34">
            <v>6</v>
          </cell>
          <cell r="K34">
            <v>6</v>
          </cell>
        </row>
        <row r="35">
          <cell r="A35" t="str">
            <v> Custom Work   #1</v>
          </cell>
          <cell r="C35" t="str">
            <v> </v>
          </cell>
          <cell r="D35" t="str">
            <v>$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              #2</v>
          </cell>
          <cell r="C36" t="str">
            <v> </v>
          </cell>
          <cell r="D36" t="str">
            <v>$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 Marketing Fees</v>
          </cell>
          <cell r="D37" t="str">
            <v>$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Other</v>
          </cell>
          <cell r="D38" t="str">
            <v>$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D39" t="str">
            <v>Typical</v>
          </cell>
          <cell r="E39" t="str">
            <v> Enterprise</v>
          </cell>
        </row>
        <row r="40">
          <cell r="D40" t="str">
            <v> $/Acre</v>
          </cell>
          <cell r="E40" t="str">
            <v> $ Allocated</v>
          </cell>
          <cell r="G40" t="str">
            <v>$/Acre</v>
          </cell>
          <cell r="H40" t="str">
            <v>$/Year</v>
          </cell>
        </row>
        <row r="41">
          <cell r="A41" t="str">
            <v> Fuel</v>
          </cell>
          <cell r="D41">
            <v>2</v>
          </cell>
          <cell r="E41" t="e">
            <v>#REF!</v>
          </cell>
          <cell r="G41" t="e">
            <v>#REF!</v>
          </cell>
          <cell r="H41" t="e">
            <v>#REF!</v>
          </cell>
        </row>
        <row r="42">
          <cell r="A42" t="str">
            <v> Mach. Repair &amp; Maint.</v>
          </cell>
          <cell r="D42">
            <v>2</v>
          </cell>
          <cell r="E42" t="e">
            <v>#REF!</v>
          </cell>
          <cell r="G42" t="e">
            <v>#REF!</v>
          </cell>
          <cell r="H42" t="e">
            <v>#REF!</v>
          </cell>
        </row>
        <row r="43">
          <cell r="A43" t="str">
            <v> Repair &amp; Maint.(Fencing)</v>
          </cell>
          <cell r="D43">
            <v>6</v>
          </cell>
          <cell r="E43" t="e">
            <v>#REF!</v>
          </cell>
          <cell r="G43" t="e">
            <v>#REF!</v>
          </cell>
          <cell r="H43" t="e">
            <v>#REF!</v>
          </cell>
          <cell r="K43" t="str">
            <v>Wfarm!L4</v>
          </cell>
        </row>
        <row r="44">
          <cell r="A44" t="str">
            <v> Rent and Labour</v>
          </cell>
          <cell r="D44">
            <v>30</v>
          </cell>
          <cell r="E44" t="e">
            <v>#REF!</v>
          </cell>
          <cell r="G44" t="e">
            <v>#REF!</v>
          </cell>
          <cell r="H44" t="e">
            <v>#REF!</v>
          </cell>
          <cell r="K44" t="str">
            <v>Wfarm!L5</v>
          </cell>
        </row>
        <row r="45">
          <cell r="A45" t="str">
            <v> General Variable Costs</v>
          </cell>
          <cell r="D45">
            <v>5</v>
          </cell>
          <cell r="E45" t="e">
            <v>#REF!</v>
          </cell>
          <cell r="G45" t="e">
            <v>#REF!</v>
          </cell>
          <cell r="H45" t="e">
            <v>#REF!</v>
          </cell>
          <cell r="K45" t="str">
            <v>Wfarm!L6</v>
          </cell>
        </row>
        <row r="46">
          <cell r="A46" t="str">
            <v>Interest on</v>
          </cell>
          <cell r="C46" t="str">
            <v>%int</v>
          </cell>
          <cell r="D46" t="str">
            <v>%year</v>
          </cell>
          <cell r="K46" t="str">
            <v>Wfarm!L7</v>
          </cell>
        </row>
        <row r="47">
          <cell r="A47" t="str">
            <v>Operating Capital</v>
          </cell>
          <cell r="C47">
            <v>7.75</v>
          </cell>
          <cell r="D47">
            <v>50</v>
          </cell>
          <cell r="E47" t="e">
            <v>#REF!</v>
          </cell>
          <cell r="G47" t="e">
            <v>#REF!</v>
          </cell>
          <cell r="H47" t="e">
            <v>#REF!</v>
          </cell>
          <cell r="K47" t="str">
            <v>Wfarm!L8</v>
          </cell>
        </row>
        <row r="48">
          <cell r="G48" t="str">
            <v>  ------</v>
          </cell>
          <cell r="H48" t="str">
            <v>  -------</v>
          </cell>
        </row>
        <row r="49">
          <cell r="A49" t="str">
            <v>Total Variable Costs</v>
          </cell>
          <cell r="G49" t="e">
            <v>#REF!</v>
          </cell>
          <cell r="H49" t="e">
            <v>#REF!</v>
          </cell>
        </row>
        <row r="50">
          <cell r="J50" t="e">
            <v>#REF!</v>
          </cell>
          <cell r="K50" t="str">
            <v>Wfarm!L9</v>
          </cell>
        </row>
        <row r="51">
          <cell r="D51" t="str">
            <v>Typical</v>
          </cell>
          <cell r="E51" t="str">
            <v> Enterprise</v>
          </cell>
        </row>
        <row r="52">
          <cell r="A52" t="str">
            <v>Fixed Costs:</v>
          </cell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</row>
        <row r="53">
          <cell r="A53" t="str">
            <v> Depreciation</v>
          </cell>
          <cell r="D53">
            <v>10</v>
          </cell>
          <cell r="E53" t="e">
            <v>#REF!</v>
          </cell>
          <cell r="G53" t="e">
            <v>#REF!</v>
          </cell>
          <cell r="H53" t="e">
            <v>#REF!</v>
          </cell>
        </row>
        <row r="54">
          <cell r="A54" t="str">
            <v> Interest on Term Loans</v>
          </cell>
          <cell r="D54">
            <v>0</v>
          </cell>
          <cell r="E54" t="e">
            <v>#REF!</v>
          </cell>
          <cell r="G54" t="e">
            <v>#REF!</v>
          </cell>
          <cell r="H54" t="e">
            <v>#REF!</v>
          </cell>
        </row>
        <row r="55">
          <cell r="A55" t="str">
            <v> Long-term Leases</v>
          </cell>
          <cell r="D55">
            <v>0</v>
          </cell>
          <cell r="E55" t="e">
            <v>#REF!</v>
          </cell>
          <cell r="G55" t="e">
            <v>#REF!</v>
          </cell>
          <cell r="H55" t="e">
            <v>#REF!</v>
          </cell>
        </row>
        <row r="56">
          <cell r="A56" t="str">
            <v> General Fixed Costs</v>
          </cell>
          <cell r="D56">
            <v>10</v>
          </cell>
          <cell r="E56" t="e">
            <v>#REF!</v>
          </cell>
          <cell r="G56" t="e">
            <v>#REF!</v>
          </cell>
          <cell r="H56" t="e">
            <v>#REF!</v>
          </cell>
        </row>
        <row r="57">
          <cell r="G57" t="str">
            <v>  ------</v>
          </cell>
          <cell r="H57" t="str">
            <v>  -------</v>
          </cell>
        </row>
        <row r="58">
          <cell r="A58" t="str">
            <v>Total Fixed Costs</v>
          </cell>
          <cell r="G58" t="e">
            <v>#REF!</v>
          </cell>
          <cell r="H58" t="e">
            <v>#REF!</v>
          </cell>
        </row>
        <row r="59">
          <cell r="A59" t="str">
            <v>=</v>
          </cell>
          <cell r="B59" t="str">
            <v>=</v>
          </cell>
          <cell r="C59" t="str">
            <v>=</v>
          </cell>
          <cell r="D59" t="str">
            <v>=</v>
          </cell>
          <cell r="E59" t="str">
            <v>=</v>
          </cell>
          <cell r="F59" t="str">
            <v>=</v>
          </cell>
          <cell r="G59" t="str">
            <v>=</v>
          </cell>
          <cell r="H59" t="str">
            <v>=</v>
          </cell>
          <cell r="K59" t="str">
            <v>Wfarm!K4</v>
          </cell>
        </row>
        <row r="60">
          <cell r="A60" t="str">
            <v>Revenues:</v>
          </cell>
          <cell r="E60" t="str">
            <v>$/Acre</v>
          </cell>
          <cell r="F60" t="str">
            <v>$/Year</v>
          </cell>
          <cell r="K60" t="str">
            <v>Wfarm!K5</v>
          </cell>
        </row>
        <row r="61">
          <cell r="A61" t="str">
            <v>Total Expected Revenues</v>
          </cell>
          <cell r="E61">
            <v>180</v>
          </cell>
          <cell r="F61">
            <v>180</v>
          </cell>
          <cell r="K61" t="str">
            <v>Wfarm!K6</v>
          </cell>
        </row>
        <row r="62">
          <cell r="A62" t="str">
            <v>    add: Expected Insurance Revenues</v>
          </cell>
          <cell r="E62">
            <v>22.66051066304897</v>
          </cell>
          <cell r="F62">
            <v>22.66051066304897</v>
          </cell>
          <cell r="K62" t="str">
            <v>Wfarm!K7</v>
          </cell>
        </row>
        <row r="63">
          <cell r="A63" t="str">
            <v>    less: Variable Costs</v>
          </cell>
          <cell r="E63" t="e">
            <v>#REF!</v>
          </cell>
          <cell r="F63" t="e">
            <v>#REF!</v>
          </cell>
        </row>
        <row r="64">
          <cell r="E64" t="str">
            <v>  -------</v>
          </cell>
          <cell r="F64" t="str">
            <v>  -------</v>
          </cell>
        </row>
        <row r="65">
          <cell r="A65" t="str">
            <v>Expected Operating Margin</v>
          </cell>
          <cell r="E65" t="e">
            <v>#REF!</v>
          </cell>
          <cell r="F65" t="e">
            <v>#REF!</v>
          </cell>
        </row>
        <row r="66">
          <cell r="A66" t="str">
            <v>    less: Fixed Costs</v>
          </cell>
          <cell r="E66" t="e">
            <v>#REF!</v>
          </cell>
          <cell r="F66" t="e">
            <v>#REF!</v>
          </cell>
        </row>
        <row r="67">
          <cell r="E67" t="str">
            <v>  -------</v>
          </cell>
          <cell r="F67" t="str">
            <v>  -------</v>
          </cell>
        </row>
        <row r="68">
          <cell r="A68" t="str">
            <v>Expected Net Revenue</v>
          </cell>
          <cell r="E68" t="e">
            <v>#REF!</v>
          </cell>
          <cell r="F68" t="e">
            <v>#REF!</v>
          </cell>
        </row>
        <row r="70">
          <cell r="A70" t="str">
            <v>      Break-even $/tonne to cover:</v>
          </cell>
          <cell r="E70" t="str">
            <v>Variable Costs</v>
          </cell>
          <cell r="G70" t="e">
            <v>#REF!</v>
          </cell>
        </row>
        <row r="71">
          <cell r="E71" t="str">
            <v>Fixed Costs</v>
          </cell>
          <cell r="G71" t="e">
            <v>#REF!</v>
          </cell>
        </row>
        <row r="72">
          <cell r="G72" t="str">
            <v>  -------</v>
          </cell>
        </row>
        <row r="73">
          <cell r="E73" t="str">
            <v>Total Costs</v>
          </cell>
          <cell r="G73" t="e">
            <v>#REF!</v>
          </cell>
        </row>
        <row r="75">
          <cell r="A75" t="str">
            <v>=</v>
          </cell>
          <cell r="B75" t="str">
            <v>=</v>
          </cell>
          <cell r="C75" t="str">
            <v>=</v>
          </cell>
          <cell r="D75" t="str">
            <v>=</v>
          </cell>
          <cell r="E75" t="str">
            <v>=</v>
          </cell>
          <cell r="F75" t="str">
            <v>=</v>
          </cell>
          <cell r="G75" t="str">
            <v>=</v>
          </cell>
          <cell r="H75" t="str">
            <v>=</v>
          </cell>
        </row>
        <row r="76">
          <cell r="B76" t="str">
            <v>Chance of at least breaking even          ==&gt;</v>
          </cell>
          <cell r="G76" t="e">
            <v>#REF!</v>
          </cell>
        </row>
        <row r="77">
          <cell r="B77" t="str">
            <v>Chance of at least</v>
          </cell>
          <cell r="D77">
            <v>0</v>
          </cell>
          <cell r="E77" t="str">
            <v>$/acre return  ==&gt;</v>
          </cell>
          <cell r="G77" t="e">
            <v>#REF!</v>
          </cell>
        </row>
        <row r="78">
          <cell r="B78" t="str">
            <v>Coefficient of variation                  ==&gt;</v>
          </cell>
          <cell r="G78">
            <v>0.5255910093271356</v>
          </cell>
        </row>
        <row r="79">
          <cell r="H79" t="str">
            <v>mn</v>
          </cell>
        </row>
        <row r="80">
          <cell r="C80" t="str">
            <v>Returns $/acre</v>
          </cell>
          <cell r="E80" t="str">
            <v>Chances of at least</v>
          </cell>
          <cell r="H80" t="str">
            <v>ystd</v>
          </cell>
        </row>
        <row r="81">
          <cell r="E81" t="str">
            <v>this return per acre</v>
          </cell>
          <cell r="H81" t="str">
            <v>pstd</v>
          </cell>
        </row>
        <row r="82">
          <cell r="H82" t="str">
            <v>nrstd</v>
          </cell>
        </row>
        <row r="83">
          <cell r="C83" t="e">
            <v>#REF!</v>
          </cell>
          <cell r="E83" t="str">
            <v>       17 %</v>
          </cell>
        </row>
        <row r="84">
          <cell r="C84" t="e">
            <v>#REF!</v>
          </cell>
          <cell r="E84" t="str">
            <v>       33 %</v>
          </cell>
          <cell r="H84" t="str">
            <v>z</v>
          </cell>
        </row>
        <row r="85">
          <cell r="C85" t="e">
            <v>#REF!</v>
          </cell>
          <cell r="E85" t="str">
            <v>       50 %</v>
          </cell>
          <cell r="H85" t="str">
            <v>v1</v>
          </cell>
        </row>
        <row r="86">
          <cell r="C86" t="e">
            <v>#REF!</v>
          </cell>
          <cell r="E86" t="str">
            <v>       67 %</v>
          </cell>
          <cell r="H86" t="str">
            <v>v2</v>
          </cell>
          <cell r="I86" t="e">
            <v>#REF!</v>
          </cell>
        </row>
        <row r="87">
          <cell r="C87" t="e">
            <v>#REF!</v>
          </cell>
          <cell r="E87" t="str">
            <v>       83 %</v>
          </cell>
          <cell r="H87" t="str">
            <v>p(vx)</v>
          </cell>
          <cell r="I87">
            <v>1.4171864</v>
          </cell>
        </row>
        <row r="88">
          <cell r="H88" t="str">
            <v/>
          </cell>
          <cell r="I88">
            <v>12.5</v>
          </cell>
        </row>
        <row r="89">
          <cell r="E89" t="str">
            <v>- End of Budget -</v>
          </cell>
          <cell r="I89">
            <v>94.60638167888442</v>
          </cell>
        </row>
        <row r="90">
          <cell r="A90" t="str">
            <v>=</v>
          </cell>
          <cell r="B90" t="str">
            <v>=</v>
          </cell>
          <cell r="C90" t="str">
            <v>=</v>
          </cell>
          <cell r="D90" t="str">
            <v>=</v>
          </cell>
          <cell r="E90" t="str">
            <v>=</v>
          </cell>
          <cell r="F90" t="str">
            <v>=</v>
          </cell>
          <cell r="G90" t="str">
            <v>=</v>
          </cell>
          <cell r="H90" t="str">
            <v>=</v>
          </cell>
        </row>
        <row r="91">
          <cell r="I91" t="e">
            <v>#REF!</v>
          </cell>
          <cell r="J91" t="e">
            <v>#REF!</v>
          </cell>
        </row>
        <row r="92">
          <cell r="I92" t="e">
            <v>#REF!</v>
          </cell>
          <cell r="J92" t="e">
            <v>#REF!</v>
          </cell>
        </row>
        <row r="93">
          <cell r="I93" t="e">
            <v>#REF!</v>
          </cell>
          <cell r="J93" t="e">
            <v>#REF!</v>
          </cell>
        </row>
        <row r="94">
          <cell r="I94" t="e">
            <v>#REF!</v>
          </cell>
          <cell r="J9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info@omafra.gov.on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305"/>
  <sheetViews>
    <sheetView showGridLines="0" tabSelected="1" zoomScalePageLayoutView="0" workbookViewId="0" topLeftCell="A1">
      <selection activeCell="AB163" sqref="AB163"/>
    </sheetView>
  </sheetViews>
  <sheetFormatPr defaultColWidth="11.00390625" defaultRowHeight="12.75"/>
  <cols>
    <col min="1" max="4" width="11.00390625" style="6" customWidth="1"/>
    <col min="5" max="5" width="12.140625" style="6" customWidth="1"/>
    <col min="6" max="6" width="11.00390625" style="6" customWidth="1"/>
    <col min="7" max="7" width="13.57421875" style="6" customWidth="1"/>
    <col min="8" max="8" width="11.57421875" style="6" customWidth="1"/>
    <col min="9" max="9" width="12.140625" style="134" hidden="1" customWidth="1"/>
    <col min="10" max="10" width="11.00390625" style="6" hidden="1" customWidth="1"/>
    <col min="11" max="11" width="11.00390625" style="134" hidden="1" customWidth="1"/>
    <col min="12" max="18" width="11.00390625" style="6" hidden="1" customWidth="1"/>
    <col min="19" max="19" width="8.7109375" style="6" hidden="1" customWidth="1"/>
    <col min="20" max="20" width="3.00390625" style="6" hidden="1" customWidth="1"/>
    <col min="21" max="21" width="19.00390625" style="6" hidden="1" customWidth="1"/>
    <col min="22" max="27" width="11.00390625" style="6" hidden="1" customWidth="1"/>
    <col min="28" max="28" width="11.00390625" style="134" customWidth="1"/>
    <col min="29" max="40" width="11.00390625" style="6" customWidth="1"/>
    <col min="41" max="41" width="13.28125" style="6" customWidth="1"/>
    <col min="42" max="49" width="8.7109375" style="6" customWidth="1"/>
    <col min="50" max="50" width="6.421875" style="6" customWidth="1"/>
    <col min="51" max="240" width="11.00390625" style="6" customWidth="1"/>
    <col min="241" max="241" width="8.7109375" style="6" customWidth="1"/>
    <col min="242" max="242" width="3.00390625" style="6" customWidth="1"/>
    <col min="243" max="249" width="11.00390625" style="6" customWidth="1"/>
    <col min="250" max="250" width="8.7109375" style="6" customWidth="1"/>
    <col min="251" max="251" width="3.00390625" style="6" customWidth="1"/>
    <col min="252" max="16384" width="11.00390625" style="6" customWidth="1"/>
  </cols>
  <sheetData>
    <row r="1" spans="1:27" ht="12.75">
      <c r="A1" s="1" t="s">
        <v>59</v>
      </c>
      <c r="B1" s="2"/>
      <c r="C1" s="3" t="s">
        <v>60</v>
      </c>
      <c r="D1" s="2"/>
      <c r="E1" s="2"/>
      <c r="F1" s="2"/>
      <c r="G1" s="121" t="s">
        <v>186</v>
      </c>
      <c r="H1" s="4"/>
      <c r="I1" s="129"/>
      <c r="J1" s="5"/>
      <c r="K1" s="129"/>
      <c r="L1" s="5"/>
      <c r="AA1" s="7">
        <f>E121</f>
        <v>-73.04484558665878</v>
      </c>
    </row>
    <row r="2" spans="1:27" ht="12.75">
      <c r="A2" s="8">
        <v>13</v>
      </c>
      <c r="B2" s="9"/>
      <c r="C2" s="9"/>
      <c r="D2" s="9"/>
      <c r="E2" s="9"/>
      <c r="F2" s="10" t="s">
        <v>61</v>
      </c>
      <c r="G2" s="11"/>
      <c r="H2" s="12">
        <f>AA1</f>
        <v>-73.04484558665878</v>
      </c>
      <c r="I2" s="129"/>
      <c r="J2" s="5"/>
      <c r="K2" s="129"/>
      <c r="L2" s="5"/>
      <c r="AA2" s="6">
        <f>IF(D14&lt;=0,0,+H100)</f>
        <v>60919.604558665866</v>
      </c>
    </row>
    <row r="3" spans="1:27" ht="12.75">
      <c r="A3" s="13"/>
      <c r="B3" s="9"/>
      <c r="C3" s="9"/>
      <c r="D3" s="9"/>
      <c r="E3" s="9"/>
      <c r="F3" s="9"/>
      <c r="G3" s="14" t="s">
        <v>0</v>
      </c>
      <c r="H3" s="15"/>
      <c r="I3" s="129"/>
      <c r="J3" s="5"/>
      <c r="K3" s="129"/>
      <c r="L3" s="5"/>
      <c r="AA3" s="6">
        <f>IF(D14&lt;=0,0,+H110)</f>
        <v>3100</v>
      </c>
    </row>
    <row r="4" spans="1:27" ht="12.75">
      <c r="A4" s="13" t="s">
        <v>62</v>
      </c>
      <c r="B4" s="9"/>
      <c r="C4" s="16"/>
      <c r="D4" s="16"/>
      <c r="E4" s="16"/>
      <c r="F4" s="9"/>
      <c r="G4" s="17"/>
      <c r="H4" s="18"/>
      <c r="I4" s="129"/>
      <c r="J4" s="5"/>
      <c r="K4" s="129"/>
      <c r="L4" s="5"/>
      <c r="AA4" s="6">
        <f>IF(D14&lt;=0,0,+F115)</f>
        <v>56715.11999999999</v>
      </c>
    </row>
    <row r="5" spans="1:27" ht="12.75">
      <c r="A5" s="13" t="s">
        <v>63</v>
      </c>
      <c r="B5" s="9"/>
      <c r="C5" s="9"/>
      <c r="D5" s="9"/>
      <c r="E5" s="19"/>
      <c r="F5" s="16"/>
      <c r="G5" s="9"/>
      <c r="H5" s="15"/>
      <c r="I5" s="129"/>
      <c r="J5" s="5"/>
      <c r="K5" s="129"/>
      <c r="L5" s="5"/>
      <c r="AA5" s="6">
        <f>100-E21</f>
        <v>100</v>
      </c>
    </row>
    <row r="6" spans="1:27" ht="12.75">
      <c r="A6" s="13" t="s">
        <v>164</v>
      </c>
      <c r="B6" s="9"/>
      <c r="C6" s="9"/>
      <c r="D6" s="9"/>
      <c r="E6" s="19"/>
      <c r="F6" s="16"/>
      <c r="G6" s="9"/>
      <c r="H6" s="15"/>
      <c r="I6" s="129"/>
      <c r="J6" s="5"/>
      <c r="K6" s="129"/>
      <c r="L6" s="5"/>
      <c r="AA6" s="6">
        <f>IF(D14&lt;=0,0,+I129)</f>
        <v>8272.498888156491</v>
      </c>
    </row>
    <row r="7" spans="1:27" ht="12.75">
      <c r="A7" s="13" t="s">
        <v>177</v>
      </c>
      <c r="B7" s="9"/>
      <c r="C7" s="9"/>
      <c r="D7" s="9"/>
      <c r="E7" s="19"/>
      <c r="F7" s="20"/>
      <c r="G7" s="9"/>
      <c r="H7" s="21"/>
      <c r="I7" s="129"/>
      <c r="J7" s="5"/>
      <c r="K7" s="129"/>
      <c r="L7" s="5"/>
      <c r="AA7" s="6">
        <f>D14</f>
        <v>100</v>
      </c>
    </row>
    <row r="8" spans="1:27" ht="12.75">
      <c r="A8" s="13" t="s">
        <v>64</v>
      </c>
      <c r="B8" s="9"/>
      <c r="C8" s="22"/>
      <c r="D8" s="9"/>
      <c r="E8" s="16"/>
      <c r="F8" s="9"/>
      <c r="G8" s="9"/>
      <c r="H8" s="21"/>
      <c r="I8" s="129"/>
      <c r="J8" s="5"/>
      <c r="K8" s="129"/>
      <c r="L8" s="5"/>
      <c r="AA8" s="6">
        <f>H87</f>
        <v>11550.000000000002</v>
      </c>
    </row>
    <row r="9" spans="1:30" ht="12.75">
      <c r="A9" s="13" t="s">
        <v>165</v>
      </c>
      <c r="B9" s="9"/>
      <c r="C9" s="22"/>
      <c r="D9" s="9"/>
      <c r="E9" s="16"/>
      <c r="F9" s="9"/>
      <c r="G9" s="23"/>
      <c r="H9" s="24"/>
      <c r="I9" s="129"/>
      <c r="J9" s="5"/>
      <c r="K9" s="129"/>
      <c r="L9" s="5"/>
      <c r="AA9" s="7">
        <f>100-E27</f>
        <v>66</v>
      </c>
      <c r="AD9" s="25"/>
    </row>
    <row r="10" spans="1:27" ht="12.75">
      <c r="A10" s="13" t="s">
        <v>166</v>
      </c>
      <c r="B10" s="9"/>
      <c r="C10" s="22"/>
      <c r="D10" s="9"/>
      <c r="E10" s="16"/>
      <c r="F10" s="9"/>
      <c r="G10" s="23"/>
      <c r="H10" s="24"/>
      <c r="I10" s="129"/>
      <c r="J10" s="5"/>
      <c r="K10" s="129"/>
      <c r="L10" s="5"/>
      <c r="AA10" s="6">
        <f>SUM(H42:H48)</f>
        <v>17165.3</v>
      </c>
    </row>
    <row r="11" spans="1:27" ht="12.75">
      <c r="A11" s="26"/>
      <c r="B11" s="26"/>
      <c r="C11" s="26"/>
      <c r="D11" s="26"/>
      <c r="E11" s="26"/>
      <c r="F11" s="26"/>
      <c r="G11" s="26"/>
      <c r="H11" s="26"/>
      <c r="I11" s="129"/>
      <c r="J11" s="5"/>
      <c r="K11" s="129"/>
      <c r="L11" s="5"/>
      <c r="AA11" s="6">
        <f>(E22-D15)/E26</f>
        <v>39.130434782608695</v>
      </c>
    </row>
    <row r="12" spans="1:27" ht="12.75">
      <c r="A12" s="117" t="s">
        <v>65</v>
      </c>
      <c r="B12" s="27"/>
      <c r="C12" s="27"/>
      <c r="D12" s="27"/>
      <c r="E12" s="27"/>
      <c r="F12" s="27"/>
      <c r="G12" s="27"/>
      <c r="H12" s="28"/>
      <c r="I12" s="129"/>
      <c r="J12" s="5"/>
      <c r="K12" s="129"/>
      <c r="L12" s="5"/>
      <c r="AA12" s="6">
        <f>IF(G26=0,0,(G22-E22)/G26)</f>
        <v>174.6031746031746</v>
      </c>
    </row>
    <row r="13" spans="1:27" ht="12.75">
      <c r="A13" s="29"/>
      <c r="B13" s="9"/>
      <c r="C13" s="9"/>
      <c r="D13" s="9"/>
      <c r="E13" s="16"/>
      <c r="F13" s="9"/>
      <c r="G13" s="30"/>
      <c r="H13" s="24"/>
      <c r="I13" s="129"/>
      <c r="J13" s="5"/>
      <c r="K13" s="129"/>
      <c r="L13" s="5"/>
      <c r="AA13" s="31">
        <f>H72</f>
        <v>2925.5</v>
      </c>
    </row>
    <row r="14" spans="1:27" ht="12.75">
      <c r="A14" s="13" t="s">
        <v>66</v>
      </c>
      <c r="B14" s="9"/>
      <c r="C14" s="9"/>
      <c r="D14" s="32">
        <v>100</v>
      </c>
      <c r="E14" s="33" t="s">
        <v>168</v>
      </c>
      <c r="F14" s="23"/>
      <c r="G14" s="23"/>
      <c r="H14" s="24"/>
      <c r="I14" s="129"/>
      <c r="J14" s="5"/>
      <c r="K14" s="130">
        <v>0</v>
      </c>
      <c r="L14" s="5"/>
      <c r="AA14" s="6">
        <f>D14</f>
        <v>100</v>
      </c>
    </row>
    <row r="15" spans="1:27" ht="12.75">
      <c r="A15" s="13" t="s">
        <v>68</v>
      </c>
      <c r="B15" s="9"/>
      <c r="C15" s="9"/>
      <c r="D15" s="32">
        <v>105</v>
      </c>
      <c r="E15" s="33" t="s">
        <v>167</v>
      </c>
      <c r="F15" s="9"/>
      <c r="G15" s="9"/>
      <c r="H15" s="24"/>
      <c r="I15" s="129"/>
      <c r="J15" s="5"/>
      <c r="K15" s="131">
        <f>AA2</f>
        <v>60919.604558665866</v>
      </c>
      <c r="L15" s="5"/>
      <c r="AA15" s="6">
        <f>E29*J26*(100-E21)/100</f>
        <v>93</v>
      </c>
    </row>
    <row r="16" spans="1:27" ht="12.75">
      <c r="A16" s="13" t="s">
        <v>67</v>
      </c>
      <c r="B16" s="9"/>
      <c r="C16" s="9"/>
      <c r="D16" s="32">
        <v>110</v>
      </c>
      <c r="E16" s="33" t="s">
        <v>1</v>
      </c>
      <c r="F16" s="23"/>
      <c r="G16" s="23"/>
      <c r="H16" s="24"/>
      <c r="I16" s="129"/>
      <c r="J16" s="5"/>
      <c r="K16" s="131">
        <f>AA3</f>
        <v>3100</v>
      </c>
      <c r="L16" s="5"/>
      <c r="AA16" s="6">
        <f>(1-E25/100)</f>
        <v>0.9299999999999999</v>
      </c>
    </row>
    <row r="17" spans="1:27" ht="12.75">
      <c r="A17" s="29"/>
      <c r="B17" s="9"/>
      <c r="C17" s="9"/>
      <c r="D17" s="9"/>
      <c r="E17" s="16"/>
      <c r="F17" s="23"/>
      <c r="G17" s="23"/>
      <c r="H17" s="35"/>
      <c r="I17" s="129"/>
      <c r="J17" s="5"/>
      <c r="K17" s="131">
        <f>AA4</f>
        <v>56715.11999999999</v>
      </c>
      <c r="L17" s="5"/>
      <c r="AA17" s="7">
        <f>SUM(H79,H80,H82,H85)</f>
        <v>2900</v>
      </c>
    </row>
    <row r="18" spans="1:27" ht="12.75">
      <c r="A18" s="29"/>
      <c r="B18" s="9"/>
      <c r="C18" s="9"/>
      <c r="D18" s="36"/>
      <c r="E18" s="33" t="s">
        <v>69</v>
      </c>
      <c r="F18" s="37"/>
      <c r="G18" s="33" t="s">
        <v>70</v>
      </c>
      <c r="H18" s="38"/>
      <c r="I18" s="129"/>
      <c r="J18" s="5"/>
      <c r="K18" s="131">
        <f>AA6</f>
        <v>8272.498888156491</v>
      </c>
      <c r="L18" s="5"/>
      <c r="AA18" s="7">
        <f>H81</f>
        <v>3900</v>
      </c>
    </row>
    <row r="19" spans="1:27" ht="12.75">
      <c r="A19" s="13" t="s">
        <v>71</v>
      </c>
      <c r="B19" s="9"/>
      <c r="C19" s="9"/>
      <c r="D19" s="23"/>
      <c r="E19" s="115" t="s">
        <v>184</v>
      </c>
      <c r="F19" s="9"/>
      <c r="G19" s="137" t="s">
        <v>185</v>
      </c>
      <c r="H19" s="38"/>
      <c r="I19" s="129"/>
      <c r="J19" s="5"/>
      <c r="K19" s="129"/>
      <c r="L19" s="5"/>
      <c r="AA19" s="6">
        <f>(1-G25/100)</f>
        <v>0.99</v>
      </c>
    </row>
    <row r="20" spans="1:27" ht="12.75">
      <c r="A20" s="39" t="s">
        <v>2</v>
      </c>
      <c r="B20" s="9"/>
      <c r="C20" s="40"/>
      <c r="D20" s="23"/>
      <c r="E20" s="41" t="s">
        <v>2</v>
      </c>
      <c r="F20" s="9"/>
      <c r="G20" s="41" t="s">
        <v>2</v>
      </c>
      <c r="H20" s="38"/>
      <c r="I20" s="129"/>
      <c r="J20" s="5"/>
      <c r="K20" s="132" t="s">
        <v>3</v>
      </c>
      <c r="L20" s="5"/>
      <c r="AA20" s="7">
        <f>H83+H84</f>
        <v>0</v>
      </c>
    </row>
    <row r="21" spans="1:27" ht="12.75">
      <c r="A21" s="13" t="s">
        <v>72</v>
      </c>
      <c r="B21" s="9"/>
      <c r="C21" s="40"/>
      <c r="D21" s="23"/>
      <c r="E21" s="32">
        <v>0</v>
      </c>
      <c r="F21" s="9"/>
      <c r="G21" s="33">
        <f>AA5</f>
        <v>100</v>
      </c>
      <c r="H21" s="38"/>
      <c r="I21" s="129"/>
      <c r="J21" s="5"/>
      <c r="K21" s="132" t="s">
        <v>4</v>
      </c>
      <c r="L21" s="5"/>
      <c r="AA21" s="6">
        <f>(E42*E29+F42*G29)/D14</f>
        <v>21</v>
      </c>
    </row>
    <row r="22" spans="1:27" ht="12.75">
      <c r="A22" s="13" t="s">
        <v>73</v>
      </c>
      <c r="B22" s="9"/>
      <c r="C22" s="40"/>
      <c r="D22" s="9"/>
      <c r="E22" s="32">
        <v>150</v>
      </c>
      <c r="F22" s="19"/>
      <c r="G22" s="32">
        <v>700</v>
      </c>
      <c r="H22" s="21"/>
      <c r="I22" s="129"/>
      <c r="J22" s="5"/>
      <c r="K22" s="131">
        <f>AA7</f>
        <v>100</v>
      </c>
      <c r="L22" s="5"/>
      <c r="AA22" s="6">
        <f>D42*((E42*E29+F42*G29)/1000)</f>
        <v>7560</v>
      </c>
    </row>
    <row r="23" spans="1:27" ht="12.75">
      <c r="A23" s="13" t="s">
        <v>74</v>
      </c>
      <c r="B23" s="9"/>
      <c r="C23" s="22"/>
      <c r="D23" s="9"/>
      <c r="E23" s="32">
        <v>120</v>
      </c>
      <c r="F23" s="22"/>
      <c r="G23" s="32">
        <v>88</v>
      </c>
      <c r="H23" s="21"/>
      <c r="I23" s="129"/>
      <c r="J23" s="5"/>
      <c r="K23" s="131">
        <f>AA8</f>
        <v>11550.000000000002</v>
      </c>
      <c r="L23" s="5"/>
      <c r="AA23" s="6">
        <f>(E43*E29+F43*G29)/D14</f>
        <v>56</v>
      </c>
    </row>
    <row r="24" spans="1:27" ht="12.75">
      <c r="A24" s="13" t="s">
        <v>75</v>
      </c>
      <c r="B24" s="16"/>
      <c r="C24" s="11"/>
      <c r="D24" s="9"/>
      <c r="E24" s="32">
        <v>0</v>
      </c>
      <c r="F24" s="19"/>
      <c r="G24" s="32">
        <v>0</v>
      </c>
      <c r="H24" s="15"/>
      <c r="I24" s="129"/>
      <c r="J24" s="5"/>
      <c r="K24" s="131">
        <f>AA10</f>
        <v>17165.3</v>
      </c>
      <c r="L24" s="5"/>
      <c r="AA24" s="6">
        <f>D43*((E43*E29+F43*G29)/1000)</f>
        <v>2156</v>
      </c>
    </row>
    <row r="25" spans="1:27" ht="12.75">
      <c r="A25" s="13" t="s">
        <v>76</v>
      </c>
      <c r="B25" s="16"/>
      <c r="C25" s="16"/>
      <c r="D25" s="9"/>
      <c r="E25" s="32">
        <v>7</v>
      </c>
      <c r="F25" s="22"/>
      <c r="G25" s="32">
        <v>1</v>
      </c>
      <c r="H25" s="15"/>
      <c r="I25" s="129"/>
      <c r="J25" s="5"/>
      <c r="K25" s="131">
        <f>AA13</f>
        <v>2925.5</v>
      </c>
      <c r="L25" s="5"/>
      <c r="AA25" s="6">
        <f>(E44*E29+F44*G29)/D14</f>
        <v>167.4</v>
      </c>
    </row>
    <row r="26" spans="1:27" ht="12.75">
      <c r="A26" s="13" t="s">
        <v>179</v>
      </c>
      <c r="B26" s="9"/>
      <c r="C26" s="9"/>
      <c r="D26" s="9"/>
      <c r="E26" s="42">
        <v>1.15</v>
      </c>
      <c r="F26" s="19"/>
      <c r="G26" s="32">
        <v>3.15</v>
      </c>
      <c r="H26" s="15"/>
      <c r="I26" s="129"/>
      <c r="J26" s="34">
        <f>AA16</f>
        <v>0.9299999999999999</v>
      </c>
      <c r="K26" s="131">
        <f>AA17</f>
        <v>2900</v>
      </c>
      <c r="L26" s="5"/>
      <c r="AA26" s="6">
        <f>D44*((E44*E29+F44*G29)/1000)</f>
        <v>7449.299999999999</v>
      </c>
    </row>
    <row r="27" spans="1:27" ht="12.75" hidden="1">
      <c r="A27" s="13" t="s">
        <v>169</v>
      </c>
      <c r="B27" s="9"/>
      <c r="C27" s="9"/>
      <c r="D27" s="9"/>
      <c r="E27" s="32">
        <v>34</v>
      </c>
      <c r="F27" s="9"/>
      <c r="G27" s="33">
        <f>AA10</f>
        <v>17165.3</v>
      </c>
      <c r="H27" s="15"/>
      <c r="I27" s="130"/>
      <c r="J27" s="5"/>
      <c r="K27" s="131">
        <f>AA18</f>
        <v>3900</v>
      </c>
      <c r="L27" s="5"/>
      <c r="AA27" s="6">
        <f>(E45*E29+F45*G29)/D14</f>
        <v>0</v>
      </c>
    </row>
    <row r="28" spans="1:27" ht="12.75">
      <c r="A28" s="13" t="s">
        <v>77</v>
      </c>
      <c r="B28" s="23"/>
      <c r="C28" s="20"/>
      <c r="D28" s="9"/>
      <c r="E28" s="37">
        <f>AA11</f>
        <v>39.130434782608695</v>
      </c>
      <c r="F28" s="9"/>
      <c r="G28" s="37">
        <f>AA12</f>
        <v>174.6031746031746</v>
      </c>
      <c r="H28" s="15"/>
      <c r="I28" s="129"/>
      <c r="J28" s="34">
        <f>AA19</f>
        <v>0.99</v>
      </c>
      <c r="K28" s="131">
        <f>AA20</f>
        <v>0</v>
      </c>
      <c r="L28" s="5"/>
      <c r="AA28" s="6">
        <f>D45*((E45*E29+F45*G29)/1000)</f>
        <v>0</v>
      </c>
    </row>
    <row r="29" spans="1:27" ht="12.75">
      <c r="A29" s="13" t="s">
        <v>78</v>
      </c>
      <c r="B29" s="9"/>
      <c r="C29" s="9"/>
      <c r="D29" s="16"/>
      <c r="E29" s="33">
        <f>AA14</f>
        <v>100</v>
      </c>
      <c r="F29" s="16"/>
      <c r="G29" s="37">
        <f>AA15</f>
        <v>93</v>
      </c>
      <c r="H29" s="21"/>
      <c r="I29" s="129"/>
      <c r="J29" s="5"/>
      <c r="K29" s="129"/>
      <c r="L29" s="5"/>
      <c r="AA29" s="6">
        <f>(D45*E45+D46*E46+D47*E47+D42*E42+D43*E43+D44*E44)/1000*E29+I45</f>
        <v>9716</v>
      </c>
    </row>
    <row r="30" spans="1:27" ht="12.75">
      <c r="A30" s="13"/>
      <c r="B30" s="9"/>
      <c r="C30" s="11"/>
      <c r="D30" s="22"/>
      <c r="E30" s="16"/>
      <c r="F30" s="22"/>
      <c r="G30" s="23"/>
      <c r="H30" s="21"/>
      <c r="I30" s="129"/>
      <c r="J30" s="5"/>
      <c r="K30" s="129"/>
      <c r="L30" s="5"/>
      <c r="AA30" s="43">
        <f>(D45*F45+D46*F46+D47*F47+D48*F48+D42*F42+D43*F43+D44*F44)/2000*F28*F29+J45</f>
        <v>0</v>
      </c>
    </row>
    <row r="31" spans="1:27" ht="12.75">
      <c r="A31" s="13" t="s">
        <v>79</v>
      </c>
      <c r="B31" s="9"/>
      <c r="C31" s="19"/>
      <c r="D31" s="22"/>
      <c r="E31" s="44"/>
      <c r="F31" s="22"/>
      <c r="G31" s="23"/>
      <c r="H31" s="21"/>
      <c r="I31" s="129"/>
      <c r="J31" s="5"/>
      <c r="K31" s="129"/>
      <c r="L31" s="5"/>
      <c r="AA31" s="7">
        <f>H60-I41-J41+K45</f>
        <v>23538.299999999996</v>
      </c>
    </row>
    <row r="32" spans="1:27" ht="12.75">
      <c r="A32" s="13" t="s">
        <v>80</v>
      </c>
      <c r="B32" s="9"/>
      <c r="C32" s="19"/>
      <c r="D32" s="22"/>
      <c r="E32" s="44"/>
      <c r="F32" s="22"/>
      <c r="G32" s="23"/>
      <c r="H32" s="21"/>
      <c r="I32" s="129"/>
      <c r="J32" s="5"/>
      <c r="K32" s="129"/>
      <c r="L32" s="5"/>
      <c r="AA32" s="7">
        <f>(E46*E29+F46*G29)/D14</f>
        <v>0</v>
      </c>
    </row>
    <row r="33" spans="1:27" ht="12.75">
      <c r="A33" s="39" t="s">
        <v>2</v>
      </c>
      <c r="B33" s="41" t="s">
        <v>2</v>
      </c>
      <c r="C33" s="41" t="s">
        <v>2</v>
      </c>
      <c r="D33" s="22"/>
      <c r="E33" s="9"/>
      <c r="F33" s="45" t="s">
        <v>5</v>
      </c>
      <c r="G33" s="16"/>
      <c r="H33" s="21"/>
      <c r="I33" s="129"/>
      <c r="J33" s="5"/>
      <c r="K33" s="129"/>
      <c r="L33" s="5"/>
      <c r="AA33" s="6">
        <f>D46*((E46*E29+F46*G29)/1000)</f>
        <v>0</v>
      </c>
    </row>
    <row r="34" spans="1:27" ht="12.75">
      <c r="A34" s="13" t="s">
        <v>81</v>
      </c>
      <c r="B34" s="9"/>
      <c r="C34" s="19"/>
      <c r="D34" s="22"/>
      <c r="E34" s="9"/>
      <c r="F34" s="32">
        <v>20</v>
      </c>
      <c r="G34" s="10" t="s">
        <v>82</v>
      </c>
      <c r="H34" s="46"/>
      <c r="I34" s="129"/>
      <c r="J34" s="5"/>
      <c r="K34" s="129"/>
      <c r="L34" s="5"/>
      <c r="AA34" s="6">
        <f>(E47*E29+F47*G29)/D14</f>
        <v>0</v>
      </c>
    </row>
    <row r="35" spans="1:27" ht="12.75">
      <c r="A35" s="13" t="s">
        <v>83</v>
      </c>
      <c r="B35" s="9"/>
      <c r="C35" s="11"/>
      <c r="D35" s="22"/>
      <c r="E35" s="9"/>
      <c r="F35" s="32">
        <v>40</v>
      </c>
      <c r="G35" s="10" t="s">
        <v>84</v>
      </c>
      <c r="H35" s="46"/>
      <c r="I35" s="130"/>
      <c r="J35" s="5"/>
      <c r="K35" s="129"/>
      <c r="L35" s="5"/>
      <c r="AA35" s="6">
        <f>D47*((E47*E29+F47*G29)/1000)</f>
        <v>0</v>
      </c>
    </row>
    <row r="36" spans="1:27" ht="12.75">
      <c r="A36" s="13" t="s">
        <v>85</v>
      </c>
      <c r="B36" s="9"/>
      <c r="C36" s="11"/>
      <c r="D36" s="9"/>
      <c r="E36" s="16"/>
      <c r="F36" s="32">
        <v>12</v>
      </c>
      <c r="G36" s="10" t="s">
        <v>84</v>
      </c>
      <c r="H36" s="47"/>
      <c r="I36" s="130"/>
      <c r="J36" s="5"/>
      <c r="K36" s="130"/>
      <c r="L36" s="5"/>
      <c r="AA36" s="6">
        <f>H50*E27/100</f>
        <v>0</v>
      </c>
    </row>
    <row r="37" spans="1:27" ht="12.75">
      <c r="A37" s="13" t="s">
        <v>178</v>
      </c>
      <c r="B37" s="9"/>
      <c r="C37" s="9"/>
      <c r="D37" s="9"/>
      <c r="E37" s="9"/>
      <c r="F37" s="32">
        <v>10</v>
      </c>
      <c r="G37" s="10" t="s">
        <v>86</v>
      </c>
      <c r="H37" s="46"/>
      <c r="I37" s="130"/>
      <c r="J37" s="48"/>
      <c r="K37" s="130"/>
      <c r="L37" s="5"/>
      <c r="AA37" s="6">
        <f>H50*F27/100</f>
        <v>0</v>
      </c>
    </row>
    <row r="38" spans="1:27" ht="12.75">
      <c r="A38" s="13" t="s">
        <v>87</v>
      </c>
      <c r="B38" s="9"/>
      <c r="C38" s="9"/>
      <c r="D38" s="9"/>
      <c r="E38" s="9"/>
      <c r="F38" s="9"/>
      <c r="G38" s="9"/>
      <c r="H38" s="15"/>
      <c r="I38" s="130"/>
      <c r="J38" s="48"/>
      <c r="K38" s="130"/>
      <c r="L38" s="5"/>
      <c r="AA38" s="6">
        <f>H50*G27/100</f>
        <v>0</v>
      </c>
    </row>
    <row r="39" spans="1:27" ht="12.75">
      <c r="A39" s="13" t="s">
        <v>88</v>
      </c>
      <c r="B39" s="9"/>
      <c r="C39" s="9"/>
      <c r="D39" s="49"/>
      <c r="E39" s="33" t="s">
        <v>89</v>
      </c>
      <c r="F39" s="33"/>
      <c r="G39" s="33" t="s">
        <v>93</v>
      </c>
      <c r="H39" s="50"/>
      <c r="I39" s="130"/>
      <c r="J39" s="48"/>
      <c r="K39" s="130"/>
      <c r="L39" s="5"/>
      <c r="AA39" s="6">
        <f ca="1">IF(K20=0,0,HLOOKUP(A1,INDIRECT(K20),12,FALSE)/D50)</f>
        <v>0</v>
      </c>
    </row>
    <row r="40" spans="1:27" ht="12.75">
      <c r="A40" s="29"/>
      <c r="B40" s="9"/>
      <c r="C40" s="51"/>
      <c r="D40" s="33" t="s">
        <v>92</v>
      </c>
      <c r="E40" s="33" t="s">
        <v>69</v>
      </c>
      <c r="F40" s="33" t="s">
        <v>70</v>
      </c>
      <c r="G40" s="33" t="s">
        <v>90</v>
      </c>
      <c r="H40" s="52" t="s">
        <v>91</v>
      </c>
      <c r="I40" s="130"/>
      <c r="J40" s="48"/>
      <c r="K40" s="130"/>
      <c r="L40" s="5"/>
      <c r="AA40" s="6">
        <f>G50*D14</f>
        <v>0</v>
      </c>
    </row>
    <row r="41" spans="1:27" ht="12.75">
      <c r="A41" s="13" t="s">
        <v>94</v>
      </c>
      <c r="B41" s="9"/>
      <c r="C41" s="51"/>
      <c r="D41" s="33" t="s">
        <v>6</v>
      </c>
      <c r="E41" s="33" t="s">
        <v>6</v>
      </c>
      <c r="F41" s="33" t="s">
        <v>6</v>
      </c>
      <c r="G41" s="33" t="s">
        <v>6</v>
      </c>
      <c r="H41" s="52" t="s">
        <v>6</v>
      </c>
      <c r="I41" s="131">
        <f>AA29</f>
        <v>9716</v>
      </c>
      <c r="J41" s="53">
        <f>AA30</f>
        <v>0</v>
      </c>
      <c r="K41" s="131">
        <f>AA31</f>
        <v>23538.299999999996</v>
      </c>
      <c r="L41" s="5"/>
      <c r="AA41" s="6">
        <f>(E55*E29+F55*G29)/D14</f>
        <v>804.45</v>
      </c>
    </row>
    <row r="42" spans="1:27" ht="12.75">
      <c r="A42" s="13" t="s">
        <v>95</v>
      </c>
      <c r="B42" s="9"/>
      <c r="C42" s="51"/>
      <c r="D42" s="32">
        <v>3600</v>
      </c>
      <c r="E42" s="32">
        <v>21</v>
      </c>
      <c r="F42" s="32">
        <v>0</v>
      </c>
      <c r="G42" s="37">
        <f>AA21</f>
        <v>21</v>
      </c>
      <c r="H42" s="46">
        <f>AA22</f>
        <v>7560</v>
      </c>
      <c r="I42" s="129"/>
      <c r="J42" s="5"/>
      <c r="K42" s="129"/>
      <c r="L42" s="5">
        <f aca="true" t="shared" si="0" ref="L42:L47">ROUND(H42/$D$14,0)</f>
        <v>76</v>
      </c>
      <c r="AA42" s="6">
        <f>D55*((E55*E29+F55*G29)/1000)</f>
        <v>16088.999999999998</v>
      </c>
    </row>
    <row r="43" spans="1:27" ht="12.75">
      <c r="A43" s="13" t="s">
        <v>161</v>
      </c>
      <c r="B43" s="118" t="s">
        <v>96</v>
      </c>
      <c r="C43" s="51"/>
      <c r="D43" s="32">
        <v>385</v>
      </c>
      <c r="E43" s="32">
        <v>56</v>
      </c>
      <c r="F43" s="32">
        <v>0</v>
      </c>
      <c r="G43" s="37">
        <f>AA23</f>
        <v>56</v>
      </c>
      <c r="H43" s="46">
        <f>AA24</f>
        <v>2156</v>
      </c>
      <c r="I43" s="130"/>
      <c r="J43" s="5"/>
      <c r="K43" s="129"/>
      <c r="L43" s="5">
        <f t="shared" si="0"/>
        <v>22</v>
      </c>
      <c r="AA43" s="6">
        <f>(E56*E29+F56*G29)/D14</f>
        <v>0</v>
      </c>
    </row>
    <row r="44" spans="1:27" ht="12.75">
      <c r="A44" s="13" t="s">
        <v>7</v>
      </c>
      <c r="B44" s="118" t="s">
        <v>99</v>
      </c>
      <c r="C44" s="9"/>
      <c r="D44" s="32">
        <v>445</v>
      </c>
      <c r="E44" s="32">
        <v>0</v>
      </c>
      <c r="F44" s="32">
        <v>180</v>
      </c>
      <c r="G44" s="37">
        <f>AA25</f>
        <v>167.4</v>
      </c>
      <c r="H44" s="46">
        <f>AA26</f>
        <v>7449.299999999999</v>
      </c>
      <c r="I44" s="130"/>
      <c r="J44" s="5"/>
      <c r="K44" s="129"/>
      <c r="L44" s="5">
        <f t="shared" si="0"/>
        <v>74</v>
      </c>
      <c r="AA44" s="6">
        <f>D56*((E56*E29+F56*G29)/1000)</f>
        <v>0</v>
      </c>
    </row>
    <row r="45" spans="1:27" ht="12.75">
      <c r="A45" s="13" t="s">
        <v>8</v>
      </c>
      <c r="B45" s="118" t="s">
        <v>97</v>
      </c>
      <c r="C45" s="9"/>
      <c r="D45" s="32">
        <v>200</v>
      </c>
      <c r="E45" s="32">
        <v>0</v>
      </c>
      <c r="F45" s="32">
        <v>0</v>
      </c>
      <c r="G45" s="37">
        <f>AA27</f>
        <v>0</v>
      </c>
      <c r="H45" s="46">
        <f>AA28</f>
        <v>0</v>
      </c>
      <c r="I45" s="131">
        <f>AA36</f>
        <v>0</v>
      </c>
      <c r="J45" s="53">
        <f>AA37</f>
        <v>0</v>
      </c>
      <c r="K45" s="131">
        <f>AA38</f>
        <v>0</v>
      </c>
      <c r="L45" s="5">
        <f t="shared" si="0"/>
        <v>0</v>
      </c>
      <c r="AA45" s="6">
        <f>(E57*E29+F57*G29)/D14</f>
        <v>0</v>
      </c>
    </row>
    <row r="46" spans="1:27" ht="12.75">
      <c r="A46" s="13" t="s">
        <v>9</v>
      </c>
      <c r="B46" s="118" t="s">
        <v>100</v>
      </c>
      <c r="C46" s="9"/>
      <c r="D46" s="32">
        <v>0</v>
      </c>
      <c r="E46" s="32">
        <v>0</v>
      </c>
      <c r="F46" s="32">
        <v>0</v>
      </c>
      <c r="G46" s="37">
        <v>0</v>
      </c>
      <c r="H46" s="46">
        <f>AA33</f>
        <v>0</v>
      </c>
      <c r="I46" s="130"/>
      <c r="J46" s="5"/>
      <c r="K46" s="129"/>
      <c r="L46" s="5">
        <f t="shared" si="0"/>
        <v>0</v>
      </c>
      <c r="AA46" s="6">
        <f>D57*((E57*E29+F57*G29)/1000)</f>
        <v>0</v>
      </c>
    </row>
    <row r="47" spans="1:27" ht="12.75">
      <c r="A47" s="13" t="s">
        <v>10</v>
      </c>
      <c r="B47" s="118" t="s">
        <v>101</v>
      </c>
      <c r="C47" s="9"/>
      <c r="D47" s="32">
        <v>0</v>
      </c>
      <c r="E47" s="32">
        <v>0</v>
      </c>
      <c r="F47" s="32">
        <v>0</v>
      </c>
      <c r="G47" s="37">
        <f>AA34</f>
        <v>0</v>
      </c>
      <c r="H47" s="46">
        <f>AA35</f>
        <v>0</v>
      </c>
      <c r="I47" s="130"/>
      <c r="J47" s="5"/>
      <c r="K47" s="129"/>
      <c r="L47" s="5">
        <f t="shared" si="0"/>
        <v>0</v>
      </c>
      <c r="AA47" s="6">
        <f>(E58*E29+F58*G29)/D14</f>
        <v>0</v>
      </c>
    </row>
    <row r="48" spans="1:27" ht="12.75">
      <c r="A48" s="29"/>
      <c r="B48" s="9"/>
      <c r="C48" s="9"/>
      <c r="D48" s="9"/>
      <c r="E48" s="22"/>
      <c r="F48" s="23"/>
      <c r="G48" s="23"/>
      <c r="H48" s="15"/>
      <c r="I48" s="129"/>
      <c r="J48" s="5"/>
      <c r="K48" s="129"/>
      <c r="L48" s="5">
        <f>SUM(L42:L47)</f>
        <v>172</v>
      </c>
      <c r="AA48" s="6">
        <f>D58*((E58*E29+F58*G29)/1000)</f>
        <v>0</v>
      </c>
    </row>
    <row r="49" spans="1:27" ht="12.75">
      <c r="A49" s="13" t="s">
        <v>102</v>
      </c>
      <c r="B49" s="9"/>
      <c r="C49" s="9"/>
      <c r="D49" s="23"/>
      <c r="E49" s="16"/>
      <c r="F49" s="22"/>
      <c r="G49" s="22"/>
      <c r="H49" s="21"/>
      <c r="I49" s="130"/>
      <c r="J49" s="5"/>
      <c r="K49" s="129"/>
      <c r="L49" s="5"/>
      <c r="AA49" s="6">
        <f>SUM(E42:E48,E55:E58)</f>
        <v>77</v>
      </c>
    </row>
    <row r="50" spans="1:27" ht="12.75">
      <c r="A50" s="102" t="s">
        <v>11</v>
      </c>
      <c r="B50" s="103"/>
      <c r="C50" s="103"/>
      <c r="D50" s="104">
        <f>D14</f>
        <v>100</v>
      </c>
      <c r="E50" s="105" t="s">
        <v>12</v>
      </c>
      <c r="F50" s="103"/>
      <c r="G50" s="105">
        <f>AA39</f>
        <v>0</v>
      </c>
      <c r="H50" s="106">
        <f>AA40</f>
        <v>0</v>
      </c>
      <c r="I50" s="130"/>
      <c r="J50" s="5"/>
      <c r="K50" s="129"/>
      <c r="L50" s="5"/>
      <c r="AA50" s="6">
        <f>SUM(F42:F48,F55:F58)</f>
        <v>1045</v>
      </c>
    </row>
    <row r="51" spans="1:27" ht="12.75">
      <c r="A51" s="107"/>
      <c r="B51" s="108"/>
      <c r="C51" s="108"/>
      <c r="D51" s="108"/>
      <c r="E51" s="108"/>
      <c r="F51" s="16"/>
      <c r="G51" s="108"/>
      <c r="H51" s="109"/>
      <c r="I51" s="130"/>
      <c r="J51" s="5"/>
      <c r="K51" s="129"/>
      <c r="L51" s="5"/>
      <c r="AA51" s="7">
        <f>SUM(G42:G48,G55:G58,G50)</f>
        <v>1048.8500000000001</v>
      </c>
    </row>
    <row r="52" spans="1:27" ht="12.75">
      <c r="A52" s="13"/>
      <c r="B52" s="9"/>
      <c r="C52" s="19"/>
      <c r="D52" s="36"/>
      <c r="E52" s="138" t="s">
        <v>188</v>
      </c>
      <c r="F52" s="16"/>
      <c r="G52" s="33" t="s">
        <v>93</v>
      </c>
      <c r="H52" s="46"/>
      <c r="I52" s="130"/>
      <c r="J52" s="5"/>
      <c r="K52" s="129"/>
      <c r="L52" s="5"/>
      <c r="AA52" s="7">
        <f>SUM(H42:H48,H55:H58,H50)</f>
        <v>33254.299999999996</v>
      </c>
    </row>
    <row r="53" spans="1:27" ht="12.75">
      <c r="A53" s="13"/>
      <c r="B53" s="9"/>
      <c r="C53" s="23"/>
      <c r="D53" s="33" t="s">
        <v>92</v>
      </c>
      <c r="E53" s="33" t="s">
        <v>69</v>
      </c>
      <c r="F53" s="33" t="s">
        <v>70</v>
      </c>
      <c r="G53" s="33" t="s">
        <v>90</v>
      </c>
      <c r="H53" s="52" t="s">
        <v>91</v>
      </c>
      <c r="I53" s="129"/>
      <c r="J53" s="5"/>
      <c r="K53" s="129"/>
      <c r="L53" s="5"/>
      <c r="AA53" s="6">
        <f>(E65*E29+F65*G29)/D14</f>
        <v>3</v>
      </c>
    </row>
    <row r="54" spans="1:27" ht="12.75">
      <c r="A54" s="13"/>
      <c r="B54" s="110" t="s">
        <v>13</v>
      </c>
      <c r="C54" s="9"/>
      <c r="D54" s="23"/>
      <c r="E54" s="16"/>
      <c r="F54" s="22"/>
      <c r="G54" s="22"/>
      <c r="H54" s="21"/>
      <c r="I54" s="129"/>
      <c r="J54" s="5"/>
      <c r="K54" s="129"/>
      <c r="L54" s="5"/>
      <c r="AA54" s="6">
        <f>(E65*E29+F65*G29)</f>
        <v>300</v>
      </c>
    </row>
    <row r="55" spans="1:27" ht="12.75">
      <c r="A55" s="13" t="s">
        <v>161</v>
      </c>
      <c r="B55" s="118" t="s">
        <v>97</v>
      </c>
      <c r="C55" s="9"/>
      <c r="D55" s="32">
        <v>200</v>
      </c>
      <c r="E55" s="32">
        <v>0</v>
      </c>
      <c r="F55" s="32">
        <v>865</v>
      </c>
      <c r="G55" s="37">
        <f>AA41</f>
        <v>804.45</v>
      </c>
      <c r="H55" s="46">
        <f>AA42</f>
        <v>16088.999999999998</v>
      </c>
      <c r="I55" s="129"/>
      <c r="J55" s="5"/>
      <c r="K55" s="129"/>
      <c r="L55" s="5">
        <f>ROUND(H55/$D$14,0)</f>
        <v>161</v>
      </c>
      <c r="AA55" s="6">
        <f>(E66*E29+F66*G29)/D14</f>
        <v>5</v>
      </c>
    </row>
    <row r="56" spans="1:27" ht="12.75">
      <c r="A56" s="13" t="s">
        <v>162</v>
      </c>
      <c r="B56" s="54" t="s">
        <v>14</v>
      </c>
      <c r="C56" s="11"/>
      <c r="D56" s="32">
        <v>0</v>
      </c>
      <c r="E56" s="32">
        <v>0</v>
      </c>
      <c r="F56" s="32">
        <v>0</v>
      </c>
      <c r="G56" s="37">
        <f>AA43</f>
        <v>0</v>
      </c>
      <c r="H56" s="46">
        <f>AA44</f>
        <v>0</v>
      </c>
      <c r="I56" s="129"/>
      <c r="J56" s="5"/>
      <c r="K56" s="129"/>
      <c r="L56" s="5"/>
      <c r="AA56" s="6">
        <f>(E66*E29+F66*G29)</f>
        <v>500</v>
      </c>
    </row>
    <row r="57" spans="1:27" ht="12.75">
      <c r="A57" s="13" t="s">
        <v>98</v>
      </c>
      <c r="B57" s="54" t="s">
        <v>14</v>
      </c>
      <c r="C57" s="11"/>
      <c r="D57" s="32">
        <v>0</v>
      </c>
      <c r="E57" s="32">
        <v>0</v>
      </c>
      <c r="F57" s="32">
        <v>0</v>
      </c>
      <c r="G57" s="37">
        <f>AA45</f>
        <v>0</v>
      </c>
      <c r="H57" s="46">
        <f>AA46</f>
        <v>0</v>
      </c>
      <c r="I57" s="130"/>
      <c r="J57" s="5"/>
      <c r="K57" s="129"/>
      <c r="L57" s="5"/>
      <c r="AA57" s="6">
        <f>(E67*E29+F67*G29)/D14</f>
        <v>0</v>
      </c>
    </row>
    <row r="58" spans="1:27" ht="12.75">
      <c r="A58" s="13" t="s">
        <v>103</v>
      </c>
      <c r="B58" s="54" t="s">
        <v>14</v>
      </c>
      <c r="C58" s="9"/>
      <c r="D58" s="32">
        <v>0</v>
      </c>
      <c r="E58" s="32">
        <v>0</v>
      </c>
      <c r="F58" s="32">
        <v>0</v>
      </c>
      <c r="G58" s="37">
        <f>AA47</f>
        <v>0</v>
      </c>
      <c r="H58" s="46">
        <f>AA48</f>
        <v>0</v>
      </c>
      <c r="I58" s="130"/>
      <c r="J58" s="5"/>
      <c r="K58" s="129"/>
      <c r="L58" s="5"/>
      <c r="AA58" s="6">
        <f>(E67*E29+F67*G29)</f>
        <v>0</v>
      </c>
    </row>
    <row r="59" spans="1:27" ht="12.75">
      <c r="A59" s="60"/>
      <c r="B59" s="41" t="s">
        <v>2</v>
      </c>
      <c r="C59" s="9"/>
      <c r="D59" s="23"/>
      <c r="E59" s="33" t="s">
        <v>6</v>
      </c>
      <c r="F59" s="33" t="s">
        <v>6</v>
      </c>
      <c r="G59" s="33" t="s">
        <v>6</v>
      </c>
      <c r="H59" s="52" t="s">
        <v>6</v>
      </c>
      <c r="I59" s="130"/>
      <c r="J59" s="5"/>
      <c r="K59" s="129"/>
      <c r="L59" s="5"/>
      <c r="AA59" s="6">
        <f>(E68*E29+F68*G29)/D14</f>
        <v>0</v>
      </c>
    </row>
    <row r="60" spans="1:27" ht="12.75">
      <c r="A60" s="13" t="s">
        <v>104</v>
      </c>
      <c r="B60" s="16"/>
      <c r="C60" s="9"/>
      <c r="D60" s="116"/>
      <c r="E60" s="37">
        <f>AA49</f>
        <v>77</v>
      </c>
      <c r="F60" s="37">
        <f>AA50</f>
        <v>1045</v>
      </c>
      <c r="G60" s="37">
        <f>AA51</f>
        <v>1048.8500000000001</v>
      </c>
      <c r="H60" s="46">
        <f>AA52</f>
        <v>33254.299999999996</v>
      </c>
      <c r="I60" s="130"/>
      <c r="J60" s="5"/>
      <c r="K60" s="129"/>
      <c r="L60" s="5"/>
      <c r="AA60" s="6">
        <f>(E68*E29+F68*G29)</f>
        <v>0</v>
      </c>
    </row>
    <row r="61" spans="1:27" ht="12.75">
      <c r="A61" s="13"/>
      <c r="B61" s="9"/>
      <c r="C61" s="9"/>
      <c r="D61" s="23"/>
      <c r="E61" s="9"/>
      <c r="F61" s="16"/>
      <c r="G61" s="9"/>
      <c r="H61" s="15"/>
      <c r="I61" s="130"/>
      <c r="J61" s="5"/>
      <c r="K61" s="129"/>
      <c r="L61" s="5"/>
      <c r="AA61" s="6">
        <f>(E69*E29+F69*G29)/D14</f>
        <v>0</v>
      </c>
    </row>
    <row r="62" spans="1:27" ht="12.75">
      <c r="A62" s="29"/>
      <c r="B62" s="9"/>
      <c r="C62" s="9"/>
      <c r="D62" s="23"/>
      <c r="E62" s="138" t="s">
        <v>187</v>
      </c>
      <c r="F62" s="139"/>
      <c r="G62" s="33" t="s">
        <v>105</v>
      </c>
      <c r="H62" s="46"/>
      <c r="I62" s="130"/>
      <c r="J62" s="5"/>
      <c r="K62" s="129"/>
      <c r="L62" s="5"/>
      <c r="AA62" s="6">
        <f>(E69*E29+F69*G29)</f>
        <v>0</v>
      </c>
    </row>
    <row r="63" spans="1:27" ht="12.75">
      <c r="A63" s="29"/>
      <c r="B63" s="9"/>
      <c r="C63" s="9"/>
      <c r="D63" s="23"/>
      <c r="E63" s="33" t="s">
        <v>69</v>
      </c>
      <c r="F63" s="33" t="s">
        <v>70</v>
      </c>
      <c r="G63" s="33" t="s">
        <v>106</v>
      </c>
      <c r="H63" s="52" t="s">
        <v>91</v>
      </c>
      <c r="I63" s="130"/>
      <c r="J63" s="5"/>
      <c r="K63" s="129"/>
      <c r="L63" s="5"/>
      <c r="AA63" s="6">
        <f>(E70*E29+F70*G29)/D14</f>
        <v>21.255</v>
      </c>
    </row>
    <row r="64" spans="1:27" ht="12.75">
      <c r="A64" s="13" t="s">
        <v>107</v>
      </c>
      <c r="B64" s="9"/>
      <c r="C64" s="9"/>
      <c r="D64" s="23"/>
      <c r="E64" s="33" t="s">
        <v>6</v>
      </c>
      <c r="F64" s="33" t="s">
        <v>6</v>
      </c>
      <c r="G64" s="33" t="s">
        <v>6</v>
      </c>
      <c r="H64" s="52" t="s">
        <v>6</v>
      </c>
      <c r="I64" s="130"/>
      <c r="J64" s="5"/>
      <c r="K64" s="129"/>
      <c r="L64" s="5"/>
      <c r="AA64" s="6">
        <f>(E70*E29+F70*G29)</f>
        <v>2125.5</v>
      </c>
    </row>
    <row r="65" spans="1:27" ht="12.75">
      <c r="A65" s="62" t="s">
        <v>108</v>
      </c>
      <c r="B65" s="9"/>
      <c r="C65" s="9"/>
      <c r="D65" s="9"/>
      <c r="E65" s="126">
        <v>3</v>
      </c>
      <c r="F65" s="126">
        <v>0</v>
      </c>
      <c r="G65" s="37">
        <f>AA53</f>
        <v>3</v>
      </c>
      <c r="H65" s="46">
        <f>AA54</f>
        <v>300</v>
      </c>
      <c r="I65" s="129"/>
      <c r="J65" s="5"/>
      <c r="K65" s="129"/>
      <c r="L65" s="5"/>
      <c r="AA65" s="31">
        <f>SUM(E65:E70)</f>
        <v>26</v>
      </c>
    </row>
    <row r="66" spans="1:27" ht="12.75">
      <c r="A66" s="62" t="s">
        <v>109</v>
      </c>
      <c r="B66" s="9"/>
      <c r="C66" s="9"/>
      <c r="D66" s="9"/>
      <c r="E66" s="126">
        <v>5</v>
      </c>
      <c r="F66" s="126">
        <v>0</v>
      </c>
      <c r="G66" s="37">
        <f>AA55</f>
        <v>5</v>
      </c>
      <c r="H66" s="46">
        <f>AA56</f>
        <v>500</v>
      </c>
      <c r="I66" s="130"/>
      <c r="J66" s="5"/>
      <c r="K66" s="129"/>
      <c r="L66" s="5"/>
      <c r="AA66" s="31">
        <f>SUM(F65:F70)</f>
        <v>3.5</v>
      </c>
    </row>
    <row r="67" spans="1:27" ht="12.75">
      <c r="A67" s="62"/>
      <c r="B67" s="9"/>
      <c r="C67" s="16"/>
      <c r="D67" s="9"/>
      <c r="E67" s="126"/>
      <c r="F67" s="126"/>
      <c r="G67" s="37">
        <f>AA57</f>
        <v>0</v>
      </c>
      <c r="H67" s="46">
        <f>AA58</f>
        <v>0</v>
      </c>
      <c r="I67" s="129"/>
      <c r="J67" s="5"/>
      <c r="K67" s="129"/>
      <c r="L67" s="5"/>
      <c r="AA67" s="7">
        <f>SUM(G65:G70)</f>
        <v>29.255</v>
      </c>
    </row>
    <row r="68" spans="1:27" ht="12.75">
      <c r="A68" s="62"/>
      <c r="B68" s="9"/>
      <c r="C68" s="9"/>
      <c r="D68" s="9"/>
      <c r="E68" s="126"/>
      <c r="F68" s="126"/>
      <c r="G68" s="37">
        <f>AA59</f>
        <v>0</v>
      </c>
      <c r="H68" s="46">
        <f>AA60</f>
        <v>0</v>
      </c>
      <c r="I68" s="129"/>
      <c r="J68" s="5"/>
      <c r="K68" s="129"/>
      <c r="L68" s="5"/>
      <c r="AA68" s="7">
        <f>SUM(H65:H70)</f>
        <v>2925.5</v>
      </c>
    </row>
    <row r="69" spans="1:27" ht="12.75">
      <c r="A69" s="62"/>
      <c r="B69" s="9"/>
      <c r="C69" s="16"/>
      <c r="D69" s="23"/>
      <c r="E69" s="126"/>
      <c r="F69" s="126"/>
      <c r="G69" s="37">
        <f>AA61</f>
        <v>0</v>
      </c>
      <c r="H69" s="46">
        <f>AA62</f>
        <v>0</v>
      </c>
      <c r="I69" s="129"/>
      <c r="J69" s="5"/>
      <c r="K69" s="129"/>
      <c r="L69" s="5"/>
      <c r="AA69" s="6" t="str">
        <f>""&amp;FIXED(H74,0,TRUE)&amp;" veaux"</f>
        <v>100 veaux</v>
      </c>
    </row>
    <row r="70" spans="1:27" ht="12.75">
      <c r="A70" s="13" t="s">
        <v>170</v>
      </c>
      <c r="B70" s="9"/>
      <c r="C70" s="9"/>
      <c r="D70" s="23"/>
      <c r="E70" s="126">
        <v>18</v>
      </c>
      <c r="F70" s="126">
        <v>3.5</v>
      </c>
      <c r="G70" s="37">
        <f>AA63</f>
        <v>21.255</v>
      </c>
      <c r="H70" s="46">
        <f>AA64</f>
        <v>2125.5</v>
      </c>
      <c r="I70" s="129"/>
      <c r="J70" s="5"/>
      <c r="K70" s="129"/>
      <c r="L70" s="5"/>
      <c r="AA70" s="6" t="str">
        <f>IF(D14&gt;1," "&amp;FIXED(D14,0,TRUE)&amp;" veaux"," "&amp;FIXED(D14,0,TRUE)&amp;" Veau")</f>
        <v> 100 veaux</v>
      </c>
    </row>
    <row r="71" spans="1:27" ht="12.75">
      <c r="A71" s="29"/>
      <c r="B71" s="9"/>
      <c r="C71" s="9"/>
      <c r="D71" s="9"/>
      <c r="E71" s="49" t="s">
        <v>6</v>
      </c>
      <c r="F71" s="49" t="s">
        <v>6</v>
      </c>
      <c r="G71" s="49" t="s">
        <v>6</v>
      </c>
      <c r="H71" s="63" t="s">
        <v>6</v>
      </c>
      <c r="I71" s="129"/>
      <c r="J71" s="5"/>
      <c r="K71" s="129"/>
      <c r="L71" s="5"/>
      <c r="AA71" s="6">
        <f>IF(F79&gt;0,F79/H74,E79)</f>
        <v>9</v>
      </c>
    </row>
    <row r="72" spans="1:27" ht="12.75">
      <c r="A72" s="13" t="s">
        <v>110</v>
      </c>
      <c r="B72" s="9"/>
      <c r="C72" s="9"/>
      <c r="D72" s="9"/>
      <c r="E72" s="49">
        <f>AA65</f>
        <v>26</v>
      </c>
      <c r="F72" s="49">
        <f>AA66</f>
        <v>3.5</v>
      </c>
      <c r="G72" s="49">
        <f>AA67</f>
        <v>29.255</v>
      </c>
      <c r="H72" s="63">
        <f>AA68</f>
        <v>2925.5</v>
      </c>
      <c r="I72" s="130"/>
      <c r="J72" s="5"/>
      <c r="K72" s="129"/>
      <c r="L72" s="5"/>
      <c r="AA72" s="6">
        <f>G79*D14</f>
        <v>900</v>
      </c>
    </row>
    <row r="73" spans="1:27" ht="12.75">
      <c r="A73" s="55"/>
      <c r="B73" s="56"/>
      <c r="C73" s="56"/>
      <c r="D73" s="57"/>
      <c r="E73" s="56"/>
      <c r="F73" s="56"/>
      <c r="G73" s="58"/>
      <c r="H73" s="59"/>
      <c r="I73" s="130"/>
      <c r="J73" s="5"/>
      <c r="K73" s="129"/>
      <c r="L73" s="5"/>
      <c r="AA73" s="6">
        <f>IF(F80&gt;0,F80/H74,E80)</f>
        <v>1</v>
      </c>
    </row>
    <row r="74" spans="1:27" ht="12.75">
      <c r="A74" s="102" t="s">
        <v>15</v>
      </c>
      <c r="B74" s="103"/>
      <c r="C74" s="103"/>
      <c r="D74" s="103"/>
      <c r="E74" s="103"/>
      <c r="F74" s="103"/>
      <c r="G74" s="103"/>
      <c r="H74" s="111">
        <f>D14</f>
        <v>100</v>
      </c>
      <c r="I74" s="130"/>
      <c r="J74" s="5"/>
      <c r="K74" s="129"/>
      <c r="L74" s="5"/>
      <c r="AA74" s="6">
        <f>G80*D14</f>
        <v>100</v>
      </c>
    </row>
    <row r="75" spans="1:27" ht="12.75">
      <c r="A75" s="102" t="s">
        <v>16</v>
      </c>
      <c r="B75" s="103"/>
      <c r="C75" s="103"/>
      <c r="D75" s="103"/>
      <c r="E75" s="103"/>
      <c r="F75" s="103"/>
      <c r="G75" s="103"/>
      <c r="H75" s="112"/>
      <c r="I75" s="130"/>
      <c r="J75" s="5"/>
      <c r="K75" s="129"/>
      <c r="L75" s="5"/>
      <c r="AA75" s="6">
        <f>IF(F81&gt;0,F81/H74,E81)</f>
        <v>39</v>
      </c>
    </row>
    <row r="76" spans="1:27" ht="12.75">
      <c r="A76" s="29"/>
      <c r="B76" s="9"/>
      <c r="C76" s="9"/>
      <c r="D76" s="23"/>
      <c r="E76" s="16"/>
      <c r="F76" s="16"/>
      <c r="G76" s="22"/>
      <c r="H76" s="21"/>
      <c r="I76" s="129"/>
      <c r="J76" s="5"/>
      <c r="K76" s="129"/>
      <c r="L76" s="5"/>
      <c r="AA76" s="6">
        <f>G81*D14</f>
        <v>3900</v>
      </c>
    </row>
    <row r="77" spans="1:27" ht="12.75">
      <c r="A77" s="29"/>
      <c r="B77" s="9"/>
      <c r="C77" s="9"/>
      <c r="D77" s="23"/>
      <c r="E77" s="33" t="s">
        <v>113</v>
      </c>
      <c r="F77" s="33" t="s">
        <v>91</v>
      </c>
      <c r="G77" s="37"/>
      <c r="H77" s="52" t="s">
        <v>91</v>
      </c>
      <c r="I77" s="130"/>
      <c r="J77" s="5"/>
      <c r="K77" s="129"/>
      <c r="L77" s="5"/>
      <c r="AA77" s="6">
        <f>IF(F82&gt;0,F82/H74,E82)</f>
        <v>19</v>
      </c>
    </row>
    <row r="78" spans="1:27" ht="12.75">
      <c r="A78" s="29"/>
      <c r="B78" s="9"/>
      <c r="C78" s="9"/>
      <c r="D78" s="23"/>
      <c r="E78" s="33" t="s">
        <v>111</v>
      </c>
      <c r="F78" s="33" t="str">
        <f>AA70</f>
        <v> 100 veaux</v>
      </c>
      <c r="G78" s="33" t="s">
        <v>111</v>
      </c>
      <c r="H78" s="52" t="str">
        <f>AA70</f>
        <v> 100 veaux</v>
      </c>
      <c r="I78" s="129"/>
      <c r="J78" s="5"/>
      <c r="K78" s="129"/>
      <c r="L78" s="5"/>
      <c r="AA78" s="6">
        <f>G82*D14</f>
        <v>1900</v>
      </c>
    </row>
    <row r="79" spans="1:27" ht="12.75">
      <c r="A79" s="13" t="s">
        <v>114</v>
      </c>
      <c r="B79" s="9"/>
      <c r="C79" s="9"/>
      <c r="D79" s="22"/>
      <c r="E79" s="42"/>
      <c r="F79" s="64">
        <v>900</v>
      </c>
      <c r="G79" s="49">
        <f>AA71</f>
        <v>9</v>
      </c>
      <c r="H79" s="46">
        <f>AA72</f>
        <v>900</v>
      </c>
      <c r="I79" s="129"/>
      <c r="J79" s="5"/>
      <c r="K79" s="132" t="s">
        <v>17</v>
      </c>
      <c r="L79" s="5"/>
      <c r="AA79" s="6">
        <f>IF(F83&gt;0,F83/H74,E83)</f>
        <v>0</v>
      </c>
    </row>
    <row r="80" spans="1:27" ht="12.75">
      <c r="A80" s="13" t="s">
        <v>115</v>
      </c>
      <c r="B80" s="9"/>
      <c r="C80" s="9"/>
      <c r="D80" s="22"/>
      <c r="E80" s="42"/>
      <c r="F80" s="64">
        <v>100</v>
      </c>
      <c r="G80" s="49">
        <f>AA73</f>
        <v>1</v>
      </c>
      <c r="H80" s="46">
        <f>AA74</f>
        <v>100</v>
      </c>
      <c r="I80" s="130"/>
      <c r="J80" s="5"/>
      <c r="K80" s="132" t="s">
        <v>18</v>
      </c>
      <c r="L80" s="5"/>
      <c r="AA80" s="6">
        <f>G83*D14</f>
        <v>0</v>
      </c>
    </row>
    <row r="81" spans="1:27" ht="12.75">
      <c r="A81" s="13" t="s">
        <v>116</v>
      </c>
      <c r="B81" s="16"/>
      <c r="C81" s="16"/>
      <c r="D81" s="16"/>
      <c r="E81" s="42">
        <v>39</v>
      </c>
      <c r="F81" s="64"/>
      <c r="G81" s="49">
        <f>AA75</f>
        <v>39</v>
      </c>
      <c r="H81" s="46">
        <f>AA76</f>
        <v>3900</v>
      </c>
      <c r="I81" s="129"/>
      <c r="J81" s="5"/>
      <c r="K81" s="132" t="s">
        <v>19</v>
      </c>
      <c r="L81" s="5"/>
      <c r="AA81" s="6">
        <f>IF(F84&gt;0,F84/H74,E84)</f>
        <v>0</v>
      </c>
    </row>
    <row r="82" spans="1:27" ht="12.75">
      <c r="A82" s="13" t="s">
        <v>117</v>
      </c>
      <c r="B82" s="16"/>
      <c r="C82" s="16"/>
      <c r="D82" s="16"/>
      <c r="E82" s="42"/>
      <c r="F82" s="64">
        <v>1900</v>
      </c>
      <c r="G82" s="49">
        <f>AA77</f>
        <v>19</v>
      </c>
      <c r="H82" s="46">
        <f>AA78</f>
        <v>1900</v>
      </c>
      <c r="I82" s="130"/>
      <c r="J82" s="5"/>
      <c r="K82" s="132" t="s">
        <v>20</v>
      </c>
      <c r="L82" s="5"/>
      <c r="AA82" s="6">
        <f>G84*D14</f>
        <v>0</v>
      </c>
    </row>
    <row r="83" spans="1:27" ht="12.75">
      <c r="A83" s="13" t="s">
        <v>118</v>
      </c>
      <c r="B83" s="16"/>
      <c r="C83" s="16"/>
      <c r="D83" s="16"/>
      <c r="E83" s="42"/>
      <c r="F83" s="64"/>
      <c r="G83" s="49">
        <f>AA79</f>
        <v>0</v>
      </c>
      <c r="H83" s="46">
        <f>AA80</f>
        <v>0</v>
      </c>
      <c r="I83" s="130"/>
      <c r="J83" s="5"/>
      <c r="K83" s="132" t="s">
        <v>21</v>
      </c>
      <c r="L83" s="5"/>
      <c r="AA83" s="6">
        <f>IF(F85&gt;0,F85/H74,E85)</f>
        <v>0</v>
      </c>
    </row>
    <row r="84" spans="1:27" ht="12.75">
      <c r="A84" s="13" t="s">
        <v>119</v>
      </c>
      <c r="B84" s="9"/>
      <c r="C84" s="9"/>
      <c r="D84" s="9"/>
      <c r="E84" s="42"/>
      <c r="F84" s="64"/>
      <c r="G84" s="49">
        <f>AA81</f>
        <v>0</v>
      </c>
      <c r="H84" s="46">
        <f>AA82</f>
        <v>0</v>
      </c>
      <c r="I84" s="129"/>
      <c r="J84" s="5"/>
      <c r="K84" s="129"/>
      <c r="L84" s="5"/>
      <c r="AA84" s="6">
        <f>G85*D14</f>
        <v>0</v>
      </c>
    </row>
    <row r="85" spans="1:27" ht="12.75">
      <c r="A85" s="13" t="s">
        <v>120</v>
      </c>
      <c r="B85" s="9"/>
      <c r="C85" s="9"/>
      <c r="D85" s="9"/>
      <c r="E85" s="42"/>
      <c r="F85" s="64"/>
      <c r="G85" s="49">
        <f>AA83</f>
        <v>0</v>
      </c>
      <c r="H85" s="46">
        <f>AA84</f>
        <v>0</v>
      </c>
      <c r="I85" s="130"/>
      <c r="J85" s="5"/>
      <c r="K85" s="129"/>
      <c r="L85" s="5"/>
      <c r="AA85" s="6">
        <f>D15*(D16/100)*H74</f>
        <v>11550.000000000002</v>
      </c>
    </row>
    <row r="86" spans="1:12" ht="12.75">
      <c r="A86" s="13"/>
      <c r="B86" s="9"/>
      <c r="C86" s="9"/>
      <c r="D86" s="9"/>
      <c r="E86" s="124"/>
      <c r="F86" s="125"/>
      <c r="G86" s="49"/>
      <c r="H86" s="46"/>
      <c r="I86" s="130"/>
      <c r="J86" s="5"/>
      <c r="K86" s="129"/>
      <c r="L86" s="5"/>
    </row>
    <row r="87" spans="1:27" ht="12.75">
      <c r="A87" s="13" t="s">
        <v>121</v>
      </c>
      <c r="B87" s="9"/>
      <c r="C87" s="9"/>
      <c r="D87" s="16"/>
      <c r="E87" s="23"/>
      <c r="F87" s="37">
        <f>AA85</f>
        <v>11550.000000000002</v>
      </c>
      <c r="G87" s="49">
        <f>AA87</f>
        <v>115.50000000000001</v>
      </c>
      <c r="H87" s="46">
        <f>AA88</f>
        <v>11550.000000000002</v>
      </c>
      <c r="I87" s="130"/>
      <c r="J87" s="5"/>
      <c r="K87" s="132" t="s">
        <v>22</v>
      </c>
      <c r="L87" s="5"/>
      <c r="AA87" s="6">
        <f>F87/H74</f>
        <v>115.50000000000001</v>
      </c>
    </row>
    <row r="88" spans="1:27" ht="12.75">
      <c r="A88" s="29"/>
      <c r="B88" s="9"/>
      <c r="C88" s="9"/>
      <c r="D88" s="9"/>
      <c r="E88" s="23"/>
      <c r="F88" s="22"/>
      <c r="G88" s="22"/>
      <c r="H88" s="21"/>
      <c r="I88" s="129"/>
      <c r="J88" s="5"/>
      <c r="K88" s="129"/>
      <c r="L88" s="5"/>
      <c r="AA88" s="6">
        <f>G87*D14</f>
        <v>11550.000000000002</v>
      </c>
    </row>
    <row r="89" spans="1:27" ht="12.75">
      <c r="A89" s="29"/>
      <c r="B89" s="9"/>
      <c r="C89" s="122"/>
      <c r="D89" s="105" t="s">
        <v>23</v>
      </c>
      <c r="E89" s="33" t="s">
        <v>113</v>
      </c>
      <c r="F89" s="33" t="s">
        <v>91</v>
      </c>
      <c r="G89" s="33" t="s">
        <v>112</v>
      </c>
      <c r="H89" s="52" t="s">
        <v>91</v>
      </c>
      <c r="I89" s="130"/>
      <c r="J89" s="5"/>
      <c r="K89" s="129"/>
      <c r="L89" s="5"/>
      <c r="AA89" s="6" t="str">
        <f>" "&amp;FIXED(D14,0,TRUE)&amp;" veaux"</f>
        <v> 100 veaux</v>
      </c>
    </row>
    <row r="90" spans="1:27" ht="12.75">
      <c r="A90" s="29"/>
      <c r="B90" s="16"/>
      <c r="C90" s="122"/>
      <c r="D90" s="105" t="s">
        <v>24</v>
      </c>
      <c r="E90" s="33" t="s">
        <v>112</v>
      </c>
      <c r="F90" s="37" t="str">
        <f>AA70</f>
        <v> 100 veaux</v>
      </c>
      <c r="G90" s="33" t="s">
        <v>122</v>
      </c>
      <c r="H90" s="52" t="str">
        <f>AA70</f>
        <v> 100 veaux</v>
      </c>
      <c r="I90" s="131">
        <f>AA93</f>
        <v>1058.7763668850505</v>
      </c>
      <c r="J90" s="5"/>
      <c r="K90" s="129"/>
      <c r="L90" s="5"/>
      <c r="AA90" s="6">
        <f ca="1">IF(K79=0,0,HLOOKUP(A1,INDIRECT(K21),2,FALSE)*INDIRECT(K79)*0.01)</f>
        <v>0</v>
      </c>
    </row>
    <row r="91" spans="1:27" ht="12.75">
      <c r="A91" s="123" t="s">
        <v>183</v>
      </c>
      <c r="B91" s="9"/>
      <c r="C91" s="122"/>
      <c r="D91" s="105">
        <f>AA90</f>
        <v>0</v>
      </c>
      <c r="E91" s="42"/>
      <c r="F91" s="127">
        <v>800</v>
      </c>
      <c r="G91" s="49">
        <f>AA91</f>
        <v>8</v>
      </c>
      <c r="H91" s="46">
        <f>AA92</f>
        <v>800</v>
      </c>
      <c r="I91" s="130"/>
      <c r="J91" s="5"/>
      <c r="K91" s="129"/>
      <c r="L91" s="5"/>
      <c r="AA91" s="6">
        <f>IF(F91&gt;0,F91/D14,D91)</f>
        <v>8</v>
      </c>
    </row>
    <row r="92" spans="1:27" ht="12.75">
      <c r="A92" s="13" t="s">
        <v>123</v>
      </c>
      <c r="B92" s="9"/>
      <c r="C92" s="122"/>
      <c r="D92" s="105">
        <f>AA94</f>
        <v>0</v>
      </c>
      <c r="E92" s="42"/>
      <c r="F92" s="127">
        <v>1600</v>
      </c>
      <c r="G92" s="49">
        <f>AA95</f>
        <v>16</v>
      </c>
      <c r="H92" s="46">
        <f>AA96</f>
        <v>1600</v>
      </c>
      <c r="I92" s="130"/>
      <c r="J92" s="48"/>
      <c r="K92" s="129"/>
      <c r="L92" s="5"/>
      <c r="AA92" s="6">
        <f>G91*D14</f>
        <v>800</v>
      </c>
    </row>
    <row r="93" spans="1:27" ht="12.75">
      <c r="A93" s="13" t="s">
        <v>124</v>
      </c>
      <c r="B93" s="22"/>
      <c r="C93" s="122"/>
      <c r="D93" s="105">
        <f>AA97</f>
        <v>0</v>
      </c>
      <c r="E93" s="42"/>
      <c r="F93" s="127">
        <v>800</v>
      </c>
      <c r="G93" s="49">
        <f>AA98</f>
        <v>8</v>
      </c>
      <c r="H93" s="46">
        <f>AA99</f>
        <v>800</v>
      </c>
      <c r="I93" s="131">
        <f>AA103</f>
        <v>20151.13871635611</v>
      </c>
      <c r="J93" s="48"/>
      <c r="K93" s="132" t="s">
        <v>25</v>
      </c>
      <c r="L93" s="5"/>
      <c r="AA93" s="6">
        <f>E98/36500*(D15*D16/100*(D14*E28+G29*G28)+H74*SUM(I1778:I1783,H60,H72,I1816:I1822,I1827:I1831))</f>
        <v>1058.7763668850505</v>
      </c>
    </row>
    <row r="94" spans="1:27" ht="12.75">
      <c r="A94" s="13" t="s">
        <v>125</v>
      </c>
      <c r="B94" s="9"/>
      <c r="C94" s="122"/>
      <c r="D94" s="105">
        <f>AA100</f>
        <v>0</v>
      </c>
      <c r="E94" s="42"/>
      <c r="F94" s="127"/>
      <c r="G94" s="49">
        <f>AA101</f>
        <v>0</v>
      </c>
      <c r="H94" s="46">
        <f>AA102</f>
        <v>0</v>
      </c>
      <c r="I94" s="131">
        <f>AA107</f>
        <v>414.4785586658726</v>
      </c>
      <c r="J94" s="48"/>
      <c r="K94" s="132" t="s">
        <v>26</v>
      </c>
      <c r="L94" s="5"/>
      <c r="AA94" s="6">
        <f ca="1">IF(K80=0,0,HLOOKUP(A1,INDIRECT(K21),3,FALSE)*INDIRECT(K80)*0.01)</f>
        <v>0</v>
      </c>
    </row>
    <row r="95" spans="1:27" ht="12.75">
      <c r="A95" s="13" t="s">
        <v>126</v>
      </c>
      <c r="B95" s="22"/>
      <c r="C95" s="122"/>
      <c r="D95" s="105">
        <f>AA104</f>
        <v>0</v>
      </c>
      <c r="E95" s="42"/>
      <c r="F95" s="127">
        <v>1500</v>
      </c>
      <c r="G95" s="49">
        <f>AA105</f>
        <v>15</v>
      </c>
      <c r="H95" s="46">
        <f>AA106</f>
        <v>1500</v>
      </c>
      <c r="I95" s="131">
        <f>AA108</f>
        <v>1275.3260000000002</v>
      </c>
      <c r="J95" s="48"/>
      <c r="K95" s="132" t="s">
        <v>27</v>
      </c>
      <c r="L95" s="5"/>
      <c r="AA95" s="6">
        <f>IF(F92&gt;0,F92/D14,D92)</f>
        <v>16</v>
      </c>
    </row>
    <row r="96" spans="1:27" ht="12.75">
      <c r="A96" s="13"/>
      <c r="B96" s="22"/>
      <c r="C96" s="122"/>
      <c r="D96" s="103"/>
      <c r="E96" s="16"/>
      <c r="F96" s="9"/>
      <c r="G96" s="22"/>
      <c r="H96" s="21"/>
      <c r="I96" s="130"/>
      <c r="J96" s="48"/>
      <c r="K96" s="132" t="s">
        <v>28</v>
      </c>
      <c r="L96" s="5"/>
      <c r="AA96" s="6">
        <f>G92*D14</f>
        <v>1600</v>
      </c>
    </row>
    <row r="97" spans="1:27" ht="12.75">
      <c r="A97" s="13" t="s">
        <v>127</v>
      </c>
      <c r="B97" s="22"/>
      <c r="C97" s="122"/>
      <c r="D97" s="103"/>
      <c r="E97" s="33" t="s">
        <v>128</v>
      </c>
      <c r="F97" s="9"/>
      <c r="G97" s="22"/>
      <c r="H97" s="21"/>
      <c r="I97" s="129"/>
      <c r="J97" s="5"/>
      <c r="K97" s="129"/>
      <c r="L97" s="5"/>
      <c r="AA97" s="6">
        <f ca="1">IF(K81=0,0,HLOOKUP(A1,INDIRECT(K21),4,FALSE)*INDIRECT(K81)*0.01)</f>
        <v>0</v>
      </c>
    </row>
    <row r="98" spans="1:27" ht="12.75">
      <c r="A98" s="13" t="s">
        <v>129</v>
      </c>
      <c r="B98" s="22"/>
      <c r="C98" s="122"/>
      <c r="D98" s="105">
        <f>AA109</f>
        <v>0</v>
      </c>
      <c r="E98" s="42">
        <v>6.5</v>
      </c>
      <c r="F98" s="9"/>
      <c r="G98" s="135">
        <f>AA110</f>
        <v>16.89804558665873</v>
      </c>
      <c r="H98" s="136">
        <f>AA111</f>
        <v>1689.8045586658727</v>
      </c>
      <c r="I98" s="130"/>
      <c r="J98" s="5"/>
      <c r="K98" s="129"/>
      <c r="L98" s="5"/>
      <c r="AA98" s="6">
        <f>IF(F93&gt;0,F93/D14,D93)</f>
        <v>8</v>
      </c>
    </row>
    <row r="99" spans="1:27" ht="12.75">
      <c r="A99" s="29"/>
      <c r="B99" s="9"/>
      <c r="C99" s="103"/>
      <c r="D99" s="16"/>
      <c r="E99" s="122"/>
      <c r="F99" s="9"/>
      <c r="G99" s="33" t="s">
        <v>29</v>
      </c>
      <c r="H99" s="52" t="s">
        <v>29</v>
      </c>
      <c r="I99" s="130"/>
      <c r="J99" s="61"/>
      <c r="K99" s="129"/>
      <c r="L99" s="5"/>
      <c r="AA99" s="6">
        <f>G93*D14</f>
        <v>800</v>
      </c>
    </row>
    <row r="100" spans="1:27" ht="12.75">
      <c r="A100" s="13" t="s">
        <v>130</v>
      </c>
      <c r="B100" s="9"/>
      <c r="C100" s="9"/>
      <c r="D100" s="9"/>
      <c r="E100" s="103"/>
      <c r="F100" s="22"/>
      <c r="G100" s="49">
        <f>AA112</f>
        <v>609.1960455866587</v>
      </c>
      <c r="H100" s="46">
        <f>AA113</f>
        <v>60919.604558665866</v>
      </c>
      <c r="I100" s="130"/>
      <c r="J100" s="5"/>
      <c r="K100" s="129"/>
      <c r="L100" s="5"/>
      <c r="AA100" s="6">
        <f ca="1">IF(K82=0,0,HLOOKUP(A1,INDIRECT(K21),5,FALSE)*INDIRECT(K82)*0.01)</f>
        <v>0</v>
      </c>
    </row>
    <row r="101" spans="1:27" ht="12.75">
      <c r="A101" s="29"/>
      <c r="B101" s="9"/>
      <c r="C101" s="9"/>
      <c r="D101" s="9"/>
      <c r="E101" s="103"/>
      <c r="F101" s="9"/>
      <c r="G101" s="9"/>
      <c r="H101" s="38"/>
      <c r="I101" s="129"/>
      <c r="J101" s="5"/>
      <c r="K101" s="129"/>
      <c r="L101" s="5"/>
      <c r="AA101" s="6">
        <f>IF(F94&gt;0,F94/D14,D94)</f>
        <v>0</v>
      </c>
    </row>
    <row r="102" spans="1:27" ht="12.75">
      <c r="A102" s="60"/>
      <c r="B102" s="9"/>
      <c r="C102" s="9"/>
      <c r="D102" s="9"/>
      <c r="E102" s="103"/>
      <c r="F102" s="9"/>
      <c r="G102" s="9"/>
      <c r="H102" s="15"/>
      <c r="I102" s="129"/>
      <c r="J102" s="5"/>
      <c r="K102" s="129"/>
      <c r="L102" s="5"/>
      <c r="AA102" s="6">
        <f>G94*D14</f>
        <v>0</v>
      </c>
    </row>
    <row r="103" spans="1:27" ht="12.75">
      <c r="A103" s="29"/>
      <c r="B103" s="9"/>
      <c r="C103" s="122"/>
      <c r="D103" s="105" t="s">
        <v>23</v>
      </c>
      <c r="E103" s="33" t="s">
        <v>113</v>
      </c>
      <c r="F103" s="33" t="s">
        <v>91</v>
      </c>
      <c r="G103" s="33" t="s">
        <v>112</v>
      </c>
      <c r="H103" s="46" t="s">
        <v>91</v>
      </c>
      <c r="I103" s="130"/>
      <c r="J103" s="5"/>
      <c r="K103" s="129"/>
      <c r="L103" s="5"/>
      <c r="AA103" s="6">
        <f>E29*E28+G29*G28</f>
        <v>20151.13871635611</v>
      </c>
    </row>
    <row r="104" spans="1:27" ht="12.75">
      <c r="A104" s="13" t="s">
        <v>131</v>
      </c>
      <c r="B104" s="9"/>
      <c r="C104" s="122"/>
      <c r="D104" s="105" t="s">
        <v>24</v>
      </c>
      <c r="E104" s="33" t="s">
        <v>112</v>
      </c>
      <c r="F104" s="22" t="str">
        <f>AA70</f>
        <v> 100 veaux</v>
      </c>
      <c r="G104" s="33" t="s">
        <v>122</v>
      </c>
      <c r="H104" s="52" t="str">
        <f>AA70</f>
        <v> 100 veaux</v>
      </c>
      <c r="I104" s="130"/>
      <c r="J104" s="5"/>
      <c r="K104" s="129"/>
      <c r="L104" s="5"/>
      <c r="AA104" s="6">
        <f ca="1">IF(K83=0,0,HLOOKUP(A1,INDIRECT(K21),6,FALSE)*INDIRECT(K83)*0.01)</f>
        <v>0</v>
      </c>
    </row>
    <row r="105" spans="1:27" ht="12.75">
      <c r="A105" s="13" t="s">
        <v>132</v>
      </c>
      <c r="B105" s="9"/>
      <c r="C105" s="122"/>
      <c r="D105" s="105">
        <f>AA115</f>
        <v>0</v>
      </c>
      <c r="E105" s="42"/>
      <c r="F105" s="128">
        <v>2100</v>
      </c>
      <c r="G105" s="49">
        <f>AA116</f>
        <v>21</v>
      </c>
      <c r="H105" s="46">
        <f>AA117</f>
        <v>2100</v>
      </c>
      <c r="I105" s="130"/>
      <c r="J105" s="5"/>
      <c r="K105" s="129"/>
      <c r="L105" s="5"/>
      <c r="AA105" s="6">
        <f>IF(F95&gt;0,F95/D14,D95)</f>
        <v>15</v>
      </c>
    </row>
    <row r="106" spans="1:27" ht="12.75">
      <c r="A106" s="13" t="s">
        <v>133</v>
      </c>
      <c r="B106" s="9"/>
      <c r="C106" s="122"/>
      <c r="D106" s="105">
        <f>AA118</f>
        <v>0</v>
      </c>
      <c r="E106" s="42"/>
      <c r="F106" s="128">
        <v>1000</v>
      </c>
      <c r="G106" s="49">
        <f>AA119</f>
        <v>10</v>
      </c>
      <c r="H106" s="46">
        <f>AA120</f>
        <v>1000</v>
      </c>
      <c r="I106" s="130"/>
      <c r="J106" s="5"/>
      <c r="K106" s="129"/>
      <c r="L106" s="5"/>
      <c r="AA106" s="6">
        <f>G95*D14</f>
        <v>1500</v>
      </c>
    </row>
    <row r="107" spans="1:27" ht="12.75">
      <c r="A107" s="13" t="s">
        <v>134</v>
      </c>
      <c r="B107" s="9"/>
      <c r="C107" s="122"/>
      <c r="D107" s="105">
        <f>AA121</f>
        <v>0</v>
      </c>
      <c r="E107" s="42"/>
      <c r="F107" s="128"/>
      <c r="G107" s="49">
        <f>AA122</f>
        <v>0</v>
      </c>
      <c r="H107" s="46">
        <f>AA123</f>
        <v>0</v>
      </c>
      <c r="I107" s="130"/>
      <c r="J107" s="5"/>
      <c r="K107" s="129"/>
      <c r="L107" s="5"/>
      <c r="AA107" s="6">
        <f>E98/100*D15*D16/100*I93/365</f>
        <v>414.4785586658726</v>
      </c>
    </row>
    <row r="108" spans="1:27" ht="12.75">
      <c r="A108" s="13" t="s">
        <v>135</v>
      </c>
      <c r="B108" s="9"/>
      <c r="C108" s="122"/>
      <c r="D108" s="105">
        <f>AA124</f>
        <v>0</v>
      </c>
      <c r="E108" s="42"/>
      <c r="F108" s="128"/>
      <c r="G108" s="49">
        <f>AA125</f>
        <v>0</v>
      </c>
      <c r="H108" s="46">
        <f>AA126</f>
        <v>0</v>
      </c>
      <c r="I108" s="130"/>
      <c r="J108" s="5"/>
      <c r="K108" s="129"/>
      <c r="L108" s="5"/>
      <c r="AA108" s="6">
        <f>E98/100*0.5*SUM(H42:H47,H72,H79:H80,H82:H87,H91:H95)</f>
        <v>1275.3260000000002</v>
      </c>
    </row>
    <row r="109" spans="1:27" ht="12.75">
      <c r="A109" s="29"/>
      <c r="B109" s="9"/>
      <c r="C109" s="122"/>
      <c r="D109" s="22"/>
      <c r="E109" s="122"/>
      <c r="F109" s="65"/>
      <c r="G109" s="33" t="s">
        <v>29</v>
      </c>
      <c r="H109" s="52" t="s">
        <v>29</v>
      </c>
      <c r="I109" s="130"/>
      <c r="J109" s="5"/>
      <c r="K109" s="129"/>
      <c r="L109" s="5"/>
      <c r="AA109" s="6">
        <f ca="1">IF(K87=0,0,HLOOKUP(A1,INDIRECT(K21),7,FALSE)*INDIRECT(K87)*0.01)</f>
        <v>0</v>
      </c>
    </row>
    <row r="110" spans="1:27" ht="12.75">
      <c r="A110" s="13" t="s">
        <v>136</v>
      </c>
      <c r="B110" s="9"/>
      <c r="C110" s="122"/>
      <c r="D110" s="9"/>
      <c r="E110" s="22"/>
      <c r="F110" s="23"/>
      <c r="G110" s="49">
        <f>AA127</f>
        <v>31</v>
      </c>
      <c r="H110" s="46">
        <f>AA128</f>
        <v>3100</v>
      </c>
      <c r="I110" s="130"/>
      <c r="J110" s="5"/>
      <c r="K110" s="129"/>
      <c r="L110" s="5"/>
      <c r="AA110" s="6">
        <f>H98/D14</f>
        <v>16.89804558665873</v>
      </c>
    </row>
    <row r="111" spans="1:27" ht="12.75">
      <c r="A111" s="29"/>
      <c r="B111" s="9"/>
      <c r="C111" s="9"/>
      <c r="D111" s="16"/>
      <c r="E111" s="22"/>
      <c r="F111" s="22"/>
      <c r="G111" s="22"/>
      <c r="H111" s="21"/>
      <c r="I111" s="130"/>
      <c r="J111" s="5"/>
      <c r="K111" s="129"/>
      <c r="L111" s="5"/>
      <c r="AA111" s="6">
        <f ca="1">IF(C98=0,I94+I95,IF(INDIRECT(K87)&gt;0,C98,I94+I95))</f>
        <v>1689.8045586658727</v>
      </c>
    </row>
    <row r="112" spans="1:27" ht="12.75">
      <c r="A112" s="26"/>
      <c r="B112" s="26"/>
      <c r="C112" s="26"/>
      <c r="D112" s="26"/>
      <c r="E112" s="26"/>
      <c r="F112" s="26"/>
      <c r="G112" s="26"/>
      <c r="H112" s="26"/>
      <c r="I112" s="130"/>
      <c r="J112" s="5"/>
      <c r="K112" s="129"/>
      <c r="L112" s="5"/>
      <c r="AA112" s="6">
        <f>H100/D14</f>
        <v>609.1960455866587</v>
      </c>
    </row>
    <row r="113" spans="1:27" ht="12.75">
      <c r="A113" s="13"/>
      <c r="B113" s="9"/>
      <c r="C113" s="9"/>
      <c r="D113" s="9"/>
      <c r="E113" s="9"/>
      <c r="F113" s="22"/>
      <c r="G113" s="9"/>
      <c r="H113" s="15"/>
      <c r="I113" s="130"/>
      <c r="J113" s="5"/>
      <c r="K113" s="129"/>
      <c r="L113" s="5"/>
      <c r="AA113" s="7">
        <f>SUM(H60,H72,H79:H98)</f>
        <v>60919.604558665866</v>
      </c>
    </row>
    <row r="114" spans="1:27" ht="12.75">
      <c r="A114" s="13" t="s">
        <v>137</v>
      </c>
      <c r="B114" s="23"/>
      <c r="C114" s="22"/>
      <c r="D114" s="22"/>
      <c r="E114" s="33" t="s">
        <v>111</v>
      </c>
      <c r="F114" s="33" t="s">
        <v>91</v>
      </c>
      <c r="G114" s="23"/>
      <c r="H114" s="18"/>
      <c r="I114" s="130"/>
      <c r="J114" s="5"/>
      <c r="K114" s="129"/>
      <c r="L114" s="5"/>
      <c r="AA114" s="6" t="str">
        <f>" "&amp;FIXED(D14,0,TRUE)&amp;" veaux"</f>
        <v> 100 veaux</v>
      </c>
    </row>
    <row r="115" spans="1:27" ht="12.75">
      <c r="A115" s="13" t="s">
        <v>138</v>
      </c>
      <c r="B115" s="23"/>
      <c r="C115" s="22"/>
      <c r="D115" s="22"/>
      <c r="E115" s="37">
        <f>AA129</f>
        <v>567.1511999999999</v>
      </c>
      <c r="F115" s="37">
        <f>AA130</f>
        <v>56715.11999999999</v>
      </c>
      <c r="G115" s="17"/>
      <c r="H115" s="18"/>
      <c r="I115" s="130"/>
      <c r="J115" s="5"/>
      <c r="K115" s="129"/>
      <c r="L115" s="5"/>
      <c r="AA115" s="6">
        <f ca="1">IF(K93=0,0,HLOOKUP(A1,INDIRECT(K21),9,FALSE)*INDIRECT(K93)*0.01)</f>
        <v>0</v>
      </c>
    </row>
    <row r="116" spans="1:27" ht="12.75">
      <c r="A116" s="13" t="s">
        <v>139</v>
      </c>
      <c r="B116" s="23"/>
      <c r="C116" s="22"/>
      <c r="D116" s="22"/>
      <c r="E116" s="37">
        <f>AA131</f>
        <v>609.1960455866587</v>
      </c>
      <c r="F116" s="37">
        <f>AA132</f>
        <v>60919.604558665866</v>
      </c>
      <c r="G116" s="17"/>
      <c r="H116" s="35"/>
      <c r="I116" s="130"/>
      <c r="J116" s="5"/>
      <c r="K116" s="129"/>
      <c r="L116" s="5"/>
      <c r="AA116" s="6">
        <f>IF(F105&gt;0,F105/D14,D105)</f>
        <v>21</v>
      </c>
    </row>
    <row r="117" spans="1:27" ht="12.75">
      <c r="A117" s="29"/>
      <c r="B117" s="23"/>
      <c r="C117" s="22"/>
      <c r="D117" s="16"/>
      <c r="E117" s="33" t="s">
        <v>29</v>
      </c>
      <c r="F117" s="33" t="s">
        <v>29</v>
      </c>
      <c r="G117" s="17"/>
      <c r="H117" s="18"/>
      <c r="I117" s="130"/>
      <c r="J117" s="5"/>
      <c r="K117" s="130"/>
      <c r="L117" s="5"/>
      <c r="AA117" s="6">
        <f>G105*D14</f>
        <v>2100</v>
      </c>
    </row>
    <row r="118" spans="1:27" ht="12.75">
      <c r="A118" s="13" t="s">
        <v>140</v>
      </c>
      <c r="B118" s="23"/>
      <c r="C118" s="22"/>
      <c r="D118" s="22"/>
      <c r="E118" s="37">
        <f>AA133</f>
        <v>-42.044845586658774</v>
      </c>
      <c r="F118" s="37">
        <f>AA134</f>
        <v>-4204.484558665878</v>
      </c>
      <c r="G118" s="17"/>
      <c r="H118" s="18"/>
      <c r="I118" s="129"/>
      <c r="J118" s="5"/>
      <c r="K118" s="130"/>
      <c r="L118" s="5"/>
      <c r="AA118" s="6">
        <f ca="1">IF(K94=0,0,HLOOKUP(A1,INDIRECT(K21),10,FALSE)*INDIRECT(K94)*0.01)</f>
        <v>0</v>
      </c>
    </row>
    <row r="119" spans="1:27" ht="12.75">
      <c r="A119" s="13" t="s">
        <v>141</v>
      </c>
      <c r="B119" s="9"/>
      <c r="C119" s="9"/>
      <c r="D119" s="22"/>
      <c r="E119" s="37">
        <f>AA135</f>
        <v>31</v>
      </c>
      <c r="F119" s="37">
        <f>AA136</f>
        <v>3100</v>
      </c>
      <c r="G119" s="17"/>
      <c r="H119" s="18"/>
      <c r="I119" s="130"/>
      <c r="J119" s="48"/>
      <c r="K119" s="130"/>
      <c r="L119" s="5"/>
      <c r="AA119" s="6">
        <f>IF(F106&gt;0,F106/D14,D106)</f>
        <v>10</v>
      </c>
    </row>
    <row r="120" spans="1:27" ht="12.75">
      <c r="A120" s="60"/>
      <c r="B120" s="9"/>
      <c r="C120" s="9"/>
      <c r="D120" s="9"/>
      <c r="E120" s="33" t="s">
        <v>29</v>
      </c>
      <c r="F120" s="33" t="s">
        <v>29</v>
      </c>
      <c r="G120" s="17"/>
      <c r="H120" s="18"/>
      <c r="I120" s="131">
        <f>AA139</f>
        <v>0</v>
      </c>
      <c r="J120" s="66" t="s">
        <v>30</v>
      </c>
      <c r="K120" s="131">
        <f>AA140</f>
        <v>11215.304558665874</v>
      </c>
      <c r="L120" s="5"/>
      <c r="AA120" s="6">
        <f>G106*D14</f>
        <v>1000</v>
      </c>
    </row>
    <row r="121" spans="1:27" ht="12.75">
      <c r="A121" s="13" t="s">
        <v>142</v>
      </c>
      <c r="B121" s="9"/>
      <c r="C121" s="9"/>
      <c r="D121" s="22"/>
      <c r="E121" s="37">
        <f>AA137</f>
        <v>-73.04484558665878</v>
      </c>
      <c r="F121" s="37">
        <f>AA138</f>
        <v>-7304.484558665878</v>
      </c>
      <c r="G121" s="9"/>
      <c r="H121" s="15"/>
      <c r="I121" s="131">
        <f>AA141</f>
        <v>56715.11999999999</v>
      </c>
      <c r="J121" s="66" t="s">
        <v>31</v>
      </c>
      <c r="K121" s="131">
        <f>AA142</f>
        <v>28343.840913991422</v>
      </c>
      <c r="L121" s="5"/>
      <c r="AA121" s="6">
        <f ca="1">IF(K95=0,0,HLOOKUP(A1,INDIRECT(K21),11,FALSE)*INDIRECT(K95)*0.01)</f>
        <v>0</v>
      </c>
    </row>
    <row r="122" spans="1:27" ht="12.75">
      <c r="A122" s="13"/>
      <c r="B122" s="9"/>
      <c r="C122" s="9"/>
      <c r="D122" s="22"/>
      <c r="E122" s="22"/>
      <c r="F122" s="22"/>
      <c r="G122" s="23"/>
      <c r="H122" s="21"/>
      <c r="I122" s="131">
        <f>AA143</f>
        <v>728933.4581759997</v>
      </c>
      <c r="J122" s="66" t="s">
        <v>32</v>
      </c>
      <c r="K122" s="131">
        <f>AA144</f>
        <v>32575.76364467445</v>
      </c>
      <c r="L122" s="5"/>
      <c r="AA122" s="6">
        <f>IF(F107&gt;0,F107/D14,D107)</f>
        <v>0</v>
      </c>
    </row>
    <row r="123" spans="1:27" ht="12.75">
      <c r="A123" s="60"/>
      <c r="B123" s="9"/>
      <c r="C123" s="9"/>
      <c r="D123" s="9"/>
      <c r="E123" s="9"/>
      <c r="F123" s="22"/>
      <c r="G123" s="23"/>
      <c r="H123" s="21"/>
      <c r="I123" s="130"/>
      <c r="J123" s="5"/>
      <c r="K123" s="129"/>
      <c r="L123" s="5"/>
      <c r="AA123" s="6">
        <f>G107*D14</f>
        <v>0</v>
      </c>
    </row>
    <row r="124" spans="1:27" ht="12.75">
      <c r="A124" s="13" t="s">
        <v>143</v>
      </c>
      <c r="B124" s="9"/>
      <c r="C124" s="9"/>
      <c r="D124" s="10" t="s">
        <v>171</v>
      </c>
      <c r="E124" s="22"/>
      <c r="F124" s="33" t="s">
        <v>144</v>
      </c>
      <c r="G124" s="33" t="s">
        <v>144</v>
      </c>
      <c r="H124" s="21"/>
      <c r="I124" s="131">
        <f>AA145</f>
        <v>0</v>
      </c>
      <c r="J124" s="48"/>
      <c r="K124" s="129"/>
      <c r="L124" s="5"/>
      <c r="AA124" s="6">
        <f ca="1">IF(K96=0,0,HLOOKUP(A1,INDIRECT(K21),12,FALSE)*INDIRECT(K96)*0.01)</f>
        <v>0</v>
      </c>
    </row>
    <row r="125" spans="1:27" ht="12.75">
      <c r="A125" s="60"/>
      <c r="B125" s="9"/>
      <c r="C125" s="9"/>
      <c r="D125" s="9"/>
      <c r="E125" s="9"/>
      <c r="F125" s="33" t="s">
        <v>145</v>
      </c>
      <c r="G125" s="33" t="s">
        <v>146</v>
      </c>
      <c r="H125" s="15"/>
      <c r="I125" s="131">
        <f>AA146</f>
        <v>13127.659775999995</v>
      </c>
      <c r="J125" s="5"/>
      <c r="K125" s="129"/>
      <c r="L125" s="5"/>
      <c r="AA125" s="6">
        <f>IF(F108&gt;0,F108/D14,D108)</f>
        <v>0</v>
      </c>
    </row>
    <row r="126" spans="1:27" ht="12.75">
      <c r="A126" s="60"/>
      <c r="B126" s="9"/>
      <c r="C126" s="9"/>
      <c r="D126" s="9"/>
      <c r="E126" s="16"/>
      <c r="F126" s="33" t="s">
        <v>29</v>
      </c>
      <c r="G126" s="33" t="s">
        <v>29</v>
      </c>
      <c r="H126" s="21"/>
      <c r="I126" s="131">
        <f>AA149</f>
        <v>21371886.796095</v>
      </c>
      <c r="J126" s="67"/>
      <c r="K126" s="129"/>
      <c r="L126" s="5"/>
      <c r="AA126" s="6">
        <f>G108*D14</f>
        <v>0</v>
      </c>
    </row>
    <row r="127" spans="1:27" ht="12.75">
      <c r="A127" s="29"/>
      <c r="B127" s="9"/>
      <c r="C127" s="9"/>
      <c r="D127" s="10" t="s">
        <v>147</v>
      </c>
      <c r="E127" s="22"/>
      <c r="F127" s="49">
        <f>AA147</f>
        <v>203.18165529742953</v>
      </c>
      <c r="G127" s="49">
        <f>AA148</f>
        <v>225.40387751965176</v>
      </c>
      <c r="H127" s="15"/>
      <c r="I127" s="131">
        <f>AA152</f>
        <v>46319109.64724735</v>
      </c>
      <c r="J127" s="48"/>
      <c r="K127" s="129"/>
      <c r="L127" s="5"/>
      <c r="AA127" s="6">
        <f>H110/D14</f>
        <v>31</v>
      </c>
    </row>
    <row r="128" spans="1:27" ht="12.75">
      <c r="A128" s="60"/>
      <c r="B128" s="9"/>
      <c r="C128" s="9"/>
      <c r="D128" s="10" t="s">
        <v>148</v>
      </c>
      <c r="E128" s="9"/>
      <c r="F128" s="49">
        <f>AA150</f>
        <v>94.52373901637866</v>
      </c>
      <c r="G128" s="49">
        <f>AA151</f>
        <v>99.28564377828341</v>
      </c>
      <c r="H128" s="38"/>
      <c r="I128" s="131">
        <f>AA153</f>
        <v>1180.2932560230593</v>
      </c>
      <c r="J128" s="48"/>
      <c r="K128" s="129"/>
      <c r="L128" s="5"/>
      <c r="AA128" s="7">
        <f>SUM(H105:H108)</f>
        <v>3100</v>
      </c>
    </row>
    <row r="129" spans="1:27" ht="12.75">
      <c r="A129" s="29"/>
      <c r="B129" s="9"/>
      <c r="C129" s="9"/>
      <c r="D129" s="9"/>
      <c r="E129" s="9"/>
      <c r="F129" s="23"/>
      <c r="G129" s="23"/>
      <c r="H129" s="38"/>
      <c r="I129" s="131">
        <f>AA154</f>
        <v>8272.498888156491</v>
      </c>
      <c r="J129" s="53" t="s">
        <v>106</v>
      </c>
      <c r="K129" s="131">
        <f>AA155</f>
        <v>-73.04484558665878</v>
      </c>
      <c r="L129" s="5"/>
      <c r="AA129" s="6">
        <f>F115/D14</f>
        <v>567.1511999999999</v>
      </c>
    </row>
    <row r="130" spans="1:27" ht="12.75">
      <c r="A130" s="26"/>
      <c r="B130" s="26"/>
      <c r="C130" s="26"/>
      <c r="D130" s="26"/>
      <c r="E130" s="26"/>
      <c r="F130" s="26"/>
      <c r="G130" s="26"/>
      <c r="H130" s="26"/>
      <c r="I130" s="131">
        <f>AA156</f>
        <v>82.72498888156491</v>
      </c>
      <c r="J130" s="66" t="s">
        <v>33</v>
      </c>
      <c r="K130" s="131">
        <f>AA157</f>
        <v>32.63039606908875</v>
      </c>
      <c r="L130" s="5"/>
      <c r="AA130" s="134">
        <f>SUM(I120:I121)</f>
        <v>56715.11999999999</v>
      </c>
    </row>
    <row r="131" spans="1:27" ht="12.75">
      <c r="A131" s="68"/>
      <c r="B131" s="2"/>
      <c r="C131" s="2"/>
      <c r="D131" s="2"/>
      <c r="E131" s="69"/>
      <c r="F131" s="70"/>
      <c r="G131" s="70"/>
      <c r="H131" s="71"/>
      <c r="I131" s="129"/>
      <c r="J131" s="5"/>
      <c r="K131" s="129"/>
      <c r="L131" s="5"/>
      <c r="AA131" s="6">
        <f>F116/D14</f>
        <v>609.1960455866587</v>
      </c>
    </row>
    <row r="132" spans="1:27" ht="12.75">
      <c r="A132" s="29"/>
      <c r="B132" s="10" t="s">
        <v>180</v>
      </c>
      <c r="C132" s="16"/>
      <c r="D132" s="16"/>
      <c r="E132" s="16"/>
      <c r="F132" s="16"/>
      <c r="G132" s="72">
        <f>AA158</f>
        <v>0.18862240524922338</v>
      </c>
      <c r="H132" s="73" t="s">
        <v>34</v>
      </c>
      <c r="I132" s="132" t="s">
        <v>35</v>
      </c>
      <c r="J132" s="66" t="s">
        <v>36</v>
      </c>
      <c r="K132" s="132" t="s">
        <v>37</v>
      </c>
      <c r="L132" s="5"/>
      <c r="AA132" s="7">
        <f>H100</f>
        <v>60919.604558665866</v>
      </c>
    </row>
    <row r="133" spans="1:27" ht="12.75">
      <c r="A133" s="60"/>
      <c r="B133" s="10" t="s">
        <v>172</v>
      </c>
      <c r="C133" s="9"/>
      <c r="D133" s="32">
        <v>0</v>
      </c>
      <c r="E133" s="10" t="s">
        <v>174</v>
      </c>
      <c r="F133" s="22"/>
      <c r="G133" s="72">
        <f>AA159</f>
        <v>0.18862240524922338</v>
      </c>
      <c r="H133" s="73" t="s">
        <v>38</v>
      </c>
      <c r="I133" s="131">
        <f>AA161</f>
        <v>0.8829840484020502</v>
      </c>
      <c r="J133" s="53">
        <f>AA162</f>
        <v>0.8829840484020502</v>
      </c>
      <c r="K133" s="131">
        <f>AA163</f>
        <v>0.4885397999319201</v>
      </c>
      <c r="L133" s="5"/>
      <c r="AA133" s="6">
        <f>F118/D14</f>
        <v>-42.044845586658774</v>
      </c>
    </row>
    <row r="134" spans="1:27" ht="12.75">
      <c r="A134" s="60"/>
      <c r="B134" s="10" t="s">
        <v>149</v>
      </c>
      <c r="C134" s="9"/>
      <c r="D134" s="16"/>
      <c r="E134" s="9"/>
      <c r="F134" s="22"/>
      <c r="G134" s="49">
        <f>AA160</f>
        <v>0.14586055514220003</v>
      </c>
      <c r="H134" s="73" t="s">
        <v>39</v>
      </c>
      <c r="I134" s="131">
        <f>AA164</f>
        <v>0.8301951247513495</v>
      </c>
      <c r="J134" s="53">
        <f>AA165</f>
        <v>0.8301951247513495</v>
      </c>
      <c r="K134" s="131">
        <f>AA166</f>
        <v>0.898338380568595</v>
      </c>
      <c r="L134" s="5"/>
      <c r="AA134" s="7">
        <f>F115-F116</f>
        <v>-4204.484558665878</v>
      </c>
    </row>
    <row r="135" spans="1:27" ht="12.75">
      <c r="A135" s="60"/>
      <c r="B135" s="9"/>
      <c r="C135" s="9"/>
      <c r="D135" s="9"/>
      <c r="E135" s="9"/>
      <c r="F135" s="9"/>
      <c r="G135" s="23"/>
      <c r="H135" s="74" t="s">
        <v>40</v>
      </c>
      <c r="I135" s="131">
        <f>AA167</f>
        <v>0.270152423829507</v>
      </c>
      <c r="J135" s="53">
        <f>AA168</f>
        <v>0.270152423829507</v>
      </c>
      <c r="K135" s="131">
        <f>AA169</f>
        <v>0.3540652362044271</v>
      </c>
      <c r="L135" s="5"/>
      <c r="AA135" s="6">
        <f>F119/D14</f>
        <v>31</v>
      </c>
    </row>
    <row r="136" spans="1:27" ht="12.75">
      <c r="A136" s="60"/>
      <c r="B136" s="9"/>
      <c r="C136" s="33" t="s">
        <v>150</v>
      </c>
      <c r="D136" s="36"/>
      <c r="E136" s="33" t="s">
        <v>173</v>
      </c>
      <c r="F136" s="37"/>
      <c r="G136" s="22"/>
      <c r="H136" s="74" t="s">
        <v>41</v>
      </c>
      <c r="I136" s="131">
        <f>AA170</f>
        <v>0.18862240524922338</v>
      </c>
      <c r="J136" s="53">
        <f>AA171</f>
        <v>0.18862240524922338</v>
      </c>
      <c r="K136" s="131">
        <f>AA172</f>
        <v>0.312583771116801</v>
      </c>
      <c r="L136" s="5"/>
      <c r="AA136" s="7">
        <f>H110</f>
        <v>3100</v>
      </c>
    </row>
    <row r="137" spans="1:27" ht="12.75">
      <c r="A137" s="60"/>
      <c r="B137" s="9"/>
      <c r="C137" s="33" t="s">
        <v>151</v>
      </c>
      <c r="D137" s="36"/>
      <c r="E137" s="33" t="s">
        <v>152</v>
      </c>
      <c r="F137" s="49"/>
      <c r="G137" s="17"/>
      <c r="H137" s="74" t="s">
        <v>42</v>
      </c>
      <c r="I137" s="129"/>
      <c r="J137" s="5"/>
      <c r="K137" s="129"/>
      <c r="L137" s="5"/>
      <c r="AA137" s="6">
        <f>F121/D14</f>
        <v>-73.04484558665878</v>
      </c>
    </row>
    <row r="138" spans="1:27" ht="12.75">
      <c r="A138" s="60"/>
      <c r="B138" s="9"/>
      <c r="C138" s="36"/>
      <c r="D138" s="36"/>
      <c r="E138" s="36"/>
      <c r="F138" s="36"/>
      <c r="G138" s="23"/>
      <c r="H138" s="74" t="s">
        <v>43</v>
      </c>
      <c r="I138" s="129"/>
      <c r="J138" s="5"/>
      <c r="K138" s="129"/>
      <c r="L138" s="5"/>
      <c r="AA138" s="7">
        <f>F118-F119</f>
        <v>-7304.484558665878</v>
      </c>
    </row>
    <row r="139" spans="1:27" ht="12.75">
      <c r="A139" s="60"/>
      <c r="B139" s="16"/>
      <c r="C139" s="37">
        <f>AA173</f>
        <v>7.198393628459186</v>
      </c>
      <c r="D139" s="36"/>
      <c r="E139" s="33" t="s">
        <v>44</v>
      </c>
      <c r="F139" s="36"/>
      <c r="G139" s="9"/>
      <c r="H139" s="74" t="s">
        <v>45</v>
      </c>
      <c r="I139" s="129"/>
      <c r="J139" s="5"/>
      <c r="K139" s="129"/>
      <c r="L139" s="5"/>
      <c r="AA139" s="6">
        <f>E21/100*D14*J26*E22*E23/100</f>
        <v>0</v>
      </c>
    </row>
    <row r="140" spans="1:27" ht="12.75">
      <c r="A140" s="75"/>
      <c r="B140" s="9"/>
      <c r="C140" s="37">
        <f>AA174</f>
        <v>-37.47310036758587</v>
      </c>
      <c r="D140" s="33"/>
      <c r="E140" s="33" t="s">
        <v>46</v>
      </c>
      <c r="F140" s="36"/>
      <c r="G140" s="23"/>
      <c r="H140" s="74" t="s">
        <v>47</v>
      </c>
      <c r="I140" s="129"/>
      <c r="J140" s="5"/>
      <c r="K140" s="129"/>
      <c r="L140" s="5"/>
      <c r="AA140" s="31">
        <f>SUM(H72,H82,H85,H91:H98)</f>
        <v>11215.304558665874</v>
      </c>
    </row>
    <row r="141" spans="1:27" ht="12.75">
      <c r="A141" s="75"/>
      <c r="B141" s="22"/>
      <c r="C141" s="37">
        <f>AA175</f>
        <v>-73.04484558665878</v>
      </c>
      <c r="D141" s="49"/>
      <c r="E141" s="33" t="s">
        <v>48</v>
      </c>
      <c r="F141" s="36"/>
      <c r="G141" s="23"/>
      <c r="H141" s="74" t="s">
        <v>49</v>
      </c>
      <c r="I141" s="129"/>
      <c r="J141" s="5"/>
      <c r="K141" s="129"/>
      <c r="L141" s="5"/>
      <c r="AA141" s="6">
        <f>G29*J28*G22*((100-G24)/100)*G23/100</f>
        <v>56715.11999999999</v>
      </c>
    </row>
    <row r="142" spans="1:27" ht="12.75">
      <c r="A142" s="60"/>
      <c r="B142" s="16"/>
      <c r="C142" s="37">
        <f>AA176</f>
        <v>-108.61659080573169</v>
      </c>
      <c r="D142" s="36"/>
      <c r="E142" s="33" t="s">
        <v>50</v>
      </c>
      <c r="F142" s="36"/>
      <c r="G142" s="23"/>
      <c r="H142" s="74" t="s">
        <v>51</v>
      </c>
      <c r="I142" s="129"/>
      <c r="J142" s="5"/>
      <c r="K142" s="129"/>
      <c r="L142" s="5"/>
      <c r="AA142" s="6">
        <f>H87+I41+H79+H80+H81+H83+(E28*E29/I93)*K120</f>
        <v>28343.840913991422</v>
      </c>
    </row>
    <row r="143" spans="1:27" ht="12.75">
      <c r="A143" s="75"/>
      <c r="B143" s="23"/>
      <c r="C143" s="37">
        <f>AA177</f>
        <v>-153.28808480177673</v>
      </c>
      <c r="D143" s="36"/>
      <c r="E143" s="33" t="s">
        <v>52</v>
      </c>
      <c r="F143" s="36"/>
      <c r="G143" s="23"/>
      <c r="H143" s="15"/>
      <c r="I143" s="129"/>
      <c r="J143" s="5"/>
      <c r="K143" s="129"/>
      <c r="L143" s="5"/>
      <c r="AA143" s="6">
        <f>((F34/100*E25)/(100*J26)*(I120+I121))^2</f>
        <v>728933.4581759997</v>
      </c>
    </row>
    <row r="144" spans="1:27" ht="12.75">
      <c r="A144" s="60"/>
      <c r="B144" s="16"/>
      <c r="C144" s="37"/>
      <c r="D144" s="36"/>
      <c r="E144" s="36"/>
      <c r="F144" s="36"/>
      <c r="G144" s="17"/>
      <c r="H144" s="15"/>
      <c r="I144" s="129"/>
      <c r="J144" s="5"/>
      <c r="K144" s="129"/>
      <c r="L144" s="5"/>
      <c r="AA144" s="6">
        <f>K41+(G28*G29/I93)*K120</f>
        <v>32575.76364467445</v>
      </c>
    </row>
    <row r="145" spans="1:27" ht="12.75">
      <c r="A145" s="60"/>
      <c r="B145" s="10" t="s">
        <v>153</v>
      </c>
      <c r="C145" s="9"/>
      <c r="D145" s="9"/>
      <c r="E145" s="9"/>
      <c r="F145" s="9"/>
      <c r="G145" s="9"/>
      <c r="H145" s="74" t="s">
        <v>53</v>
      </c>
      <c r="I145" s="129"/>
      <c r="J145" s="5"/>
      <c r="K145" s="129"/>
      <c r="L145" s="5"/>
      <c r="AA145" s="6">
        <f>((F34/100*F25)/(100*J26)*(I120+I121))^2</f>
        <v>0</v>
      </c>
    </row>
    <row r="146" spans="1:27" ht="12.75">
      <c r="A146" s="60"/>
      <c r="B146" s="10" t="s">
        <v>155</v>
      </c>
      <c r="C146" s="9"/>
      <c r="D146" s="9"/>
      <c r="E146" s="9"/>
      <c r="F146" s="32">
        <v>80</v>
      </c>
      <c r="G146" s="10" t="s">
        <v>154</v>
      </c>
      <c r="H146" s="74" t="s">
        <v>54</v>
      </c>
      <c r="I146" s="129"/>
      <c r="J146" s="5"/>
      <c r="K146" s="129"/>
      <c r="L146" s="5"/>
      <c r="AA146" s="6">
        <f>((F34/100*G25)/(100*J28)*I121)^2</f>
        <v>13127.659775999995</v>
      </c>
    </row>
    <row r="147" spans="1:27" ht="12.75">
      <c r="A147" s="60"/>
      <c r="B147" s="10" t="s">
        <v>156</v>
      </c>
      <c r="C147" s="9"/>
      <c r="D147" s="9"/>
      <c r="E147" s="16"/>
      <c r="F147" s="37">
        <f>AA178</f>
        <v>-40.414449517570034</v>
      </c>
      <c r="G147" s="10" t="s">
        <v>175</v>
      </c>
      <c r="H147" s="74" t="s">
        <v>55</v>
      </c>
      <c r="I147" s="129"/>
      <c r="J147" s="5"/>
      <c r="K147" s="129"/>
      <c r="L147" s="5"/>
      <c r="AA147" s="6">
        <f>100*K121/(E29*J26*E22)</f>
        <v>203.18165529742953</v>
      </c>
    </row>
    <row r="148" spans="1:27" ht="12.75">
      <c r="A148" s="60"/>
      <c r="B148" s="10" t="s">
        <v>157</v>
      </c>
      <c r="C148" s="9"/>
      <c r="D148" s="9"/>
      <c r="E148" s="9"/>
      <c r="F148" s="37">
        <f>AA179</f>
        <v>31.2583771116801</v>
      </c>
      <c r="G148" s="10" t="s">
        <v>56</v>
      </c>
      <c r="H148" s="74" t="s">
        <v>57</v>
      </c>
      <c r="I148" s="129"/>
      <c r="J148" s="5"/>
      <c r="K148" s="129"/>
      <c r="L148" s="5"/>
      <c r="AA148" s="6">
        <f>F127+(H110/(E29*J26*E22))*100</f>
        <v>225.40387751965176</v>
      </c>
    </row>
    <row r="149" spans="1:27" ht="12.75">
      <c r="A149" s="60"/>
      <c r="B149" s="23"/>
      <c r="C149" s="22"/>
      <c r="D149" s="9"/>
      <c r="E149" s="16"/>
      <c r="F149" s="23"/>
      <c r="G149" s="17"/>
      <c r="H149" s="74" t="s">
        <v>58</v>
      </c>
      <c r="I149" s="130"/>
      <c r="J149" s="48"/>
      <c r="K149" s="130"/>
      <c r="L149" s="5"/>
      <c r="AA149" s="6">
        <f>(D15*F35/100*D16/100)^2*(D14^2+(E98/100*I93/365)^2)</f>
        <v>21371886.796095</v>
      </c>
    </row>
    <row r="150" spans="1:27" ht="12.75">
      <c r="A150" s="60" t="s">
        <v>158</v>
      </c>
      <c r="B150" s="10"/>
      <c r="C150" s="22"/>
      <c r="D150" s="93"/>
      <c r="E150" s="16"/>
      <c r="F150" s="9"/>
      <c r="G150" s="17"/>
      <c r="H150" s="15"/>
      <c r="I150" s="130"/>
      <c r="J150" s="48"/>
      <c r="K150" s="130"/>
      <c r="L150" s="5"/>
      <c r="AA150" s="6">
        <f>IF(G29=0,NA(),100*(K121/(E29*J26*J28)+K122/(G29*J28))/G22)</f>
        <v>94.52373901637866</v>
      </c>
    </row>
    <row r="151" spans="1:27" ht="12.75">
      <c r="A151" s="120" t="s">
        <v>182</v>
      </c>
      <c r="B151" s="114"/>
      <c r="C151" s="83"/>
      <c r="D151" s="83"/>
      <c r="E151" s="83"/>
      <c r="F151" s="83"/>
      <c r="G151" s="83"/>
      <c r="H151" s="94"/>
      <c r="I151" s="130"/>
      <c r="J151" s="48"/>
      <c r="K151" s="130"/>
      <c r="L151" s="5"/>
      <c r="AA151" s="6">
        <f>IF(G29=0,NA(),F128+(H110/(E29*J26*G22))*100)</f>
        <v>99.28564377828341</v>
      </c>
    </row>
    <row r="152" spans="1:27" ht="12.75">
      <c r="A152" s="113" t="s">
        <v>159</v>
      </c>
      <c r="B152" s="114"/>
      <c r="C152" s="83"/>
      <c r="D152" s="83"/>
      <c r="E152" s="83"/>
      <c r="F152" s="83"/>
      <c r="G152" s="83"/>
      <c r="H152" s="94"/>
      <c r="I152" s="130"/>
      <c r="J152" s="48"/>
      <c r="K152" s="130"/>
      <c r="L152" s="5"/>
      <c r="AA152" s="6">
        <f>IF(E23&gt;0,(I120/E23*F36/100*E23)^2,0)+IF(F23&gt;0,(#VALUE!/F23*F36/100*F23)^2,0)+IF(G23&gt;0,(I121/G23*F36/100*G23)^2,0)</f>
        <v>46319109.64724735</v>
      </c>
    </row>
    <row r="153" spans="1:27" ht="12.75">
      <c r="A153" s="122"/>
      <c r="B153" s="114"/>
      <c r="C153" s="83"/>
      <c r="D153" s="83"/>
      <c r="E153" s="83"/>
      <c r="F153" s="83"/>
      <c r="G153" s="83"/>
      <c r="H153" s="94"/>
      <c r="I153" s="130"/>
      <c r="J153" s="48"/>
      <c r="K153" s="130"/>
      <c r="L153" s="5"/>
      <c r="AA153" s="6">
        <f>(E98/100*D15*D16/100/365*F37/100)^2*((D14*E28)^2+(F29*F28)^2+(G29*G28)^2)</f>
        <v>1180.2932560230593</v>
      </c>
    </row>
    <row r="154" spans="1:27" ht="12.75">
      <c r="A154" s="95" t="s">
        <v>176</v>
      </c>
      <c r="B154" s="41"/>
      <c r="C154" s="41"/>
      <c r="D154" s="41"/>
      <c r="E154" s="41"/>
      <c r="F154" s="41"/>
      <c r="G154" s="41"/>
      <c r="H154" s="96"/>
      <c r="I154" s="129"/>
      <c r="J154" s="5"/>
      <c r="K154" s="129"/>
      <c r="L154" s="5"/>
      <c r="AA154" s="6">
        <f>SQRT(SUM(I122:I128))</f>
        <v>8272.498888156491</v>
      </c>
    </row>
    <row r="155" spans="1:27" ht="12.75">
      <c r="A155" s="97" t="s">
        <v>163</v>
      </c>
      <c r="B155" s="84"/>
      <c r="C155" s="84"/>
      <c r="D155" s="84"/>
      <c r="E155" s="84"/>
      <c r="F155" s="84"/>
      <c r="G155" s="84"/>
      <c r="H155" s="98"/>
      <c r="I155" s="129"/>
      <c r="J155" s="5"/>
      <c r="K155" s="129"/>
      <c r="L155" s="5"/>
      <c r="AA155" s="6">
        <f>F121/D14</f>
        <v>-73.04484558665878</v>
      </c>
    </row>
    <row r="156" spans="1:27" ht="12.75">
      <c r="A156" s="99" t="s">
        <v>160</v>
      </c>
      <c r="B156" s="85"/>
      <c r="C156" s="86"/>
      <c r="D156" s="87"/>
      <c r="E156" s="87"/>
      <c r="F156" s="87"/>
      <c r="G156" s="88"/>
      <c r="H156" s="100"/>
      <c r="I156" s="129"/>
      <c r="J156" s="5"/>
      <c r="K156" s="129"/>
      <c r="L156" s="5"/>
      <c r="AA156" s="6">
        <f>I129/D14</f>
        <v>82.72498888156491</v>
      </c>
    </row>
    <row r="157" spans="1:27" ht="12.75">
      <c r="A157" s="119" t="s">
        <v>181</v>
      </c>
      <c r="B157" s="85"/>
      <c r="C157" s="87"/>
      <c r="D157" s="87"/>
      <c r="E157" s="87"/>
      <c r="F157" s="86"/>
      <c r="G157" s="88"/>
      <c r="H157" s="100"/>
      <c r="I157" s="129"/>
      <c r="J157" s="5"/>
      <c r="K157" s="129"/>
      <c r="L157" s="5"/>
      <c r="AA157" s="6">
        <f>D15*(D16-F146)/100*(1+IF(C98&gt;0,0,E98/100*I93/365/D14))</f>
        <v>32.63039606908875</v>
      </c>
    </row>
    <row r="158" spans="1:27" ht="12.75">
      <c r="A158" s="89"/>
      <c r="B158" s="89"/>
      <c r="C158" s="90"/>
      <c r="D158" s="90"/>
      <c r="E158" s="90"/>
      <c r="F158" s="91"/>
      <c r="G158" s="92"/>
      <c r="H158" s="101"/>
      <c r="I158" s="129"/>
      <c r="J158" s="5"/>
      <c r="K158" s="129"/>
      <c r="L158" s="5"/>
      <c r="AA158" s="6">
        <f>IF(E121&gt;0,1-I136,I136)</f>
        <v>0.18862240524922338</v>
      </c>
    </row>
    <row r="159" spans="1:27" ht="12.75">
      <c r="A159" s="77"/>
      <c r="B159" s="78"/>
      <c r="C159" s="76"/>
      <c r="D159" s="76"/>
      <c r="E159" s="76"/>
      <c r="F159" s="79"/>
      <c r="G159" s="80"/>
      <c r="H159" s="80"/>
      <c r="I159" s="129"/>
      <c r="J159" s="5"/>
      <c r="K159" s="129"/>
      <c r="L159" s="5"/>
      <c r="AA159" s="6">
        <f>IF(K129-D133&gt;0,1-J136,J136)</f>
        <v>0.18862240524922338</v>
      </c>
    </row>
    <row r="160" spans="1:27" ht="12.75">
      <c r="A160" s="79"/>
      <c r="B160" s="76"/>
      <c r="C160" s="76"/>
      <c r="D160" s="77"/>
      <c r="E160" s="76"/>
      <c r="F160" s="79"/>
      <c r="G160" s="76"/>
      <c r="H160" s="77"/>
      <c r="I160" s="129"/>
      <c r="J160" s="5"/>
      <c r="K160" s="129"/>
      <c r="L160" s="5"/>
      <c r="AA160" s="6">
        <f>I130/E115</f>
        <v>0.14586055514220003</v>
      </c>
    </row>
    <row r="161" spans="1:27" ht="12.75">
      <c r="A161" s="76"/>
      <c r="B161" s="76"/>
      <c r="C161" s="76"/>
      <c r="D161" s="76"/>
      <c r="E161" s="76"/>
      <c r="F161" s="76"/>
      <c r="G161" s="76"/>
      <c r="H161" s="76"/>
      <c r="I161" s="129"/>
      <c r="J161" s="5"/>
      <c r="K161" s="129"/>
      <c r="L161" s="5"/>
      <c r="AA161" s="6">
        <f>ABS(K129/I130)</f>
        <v>0.8829840484020502</v>
      </c>
    </row>
    <row r="162" spans="1:27" ht="12.75">
      <c r="A162" s="79"/>
      <c r="B162" s="76"/>
      <c r="C162" s="76"/>
      <c r="D162" s="76"/>
      <c r="E162" s="76"/>
      <c r="F162" s="76"/>
      <c r="G162" s="76"/>
      <c r="H162" s="76"/>
      <c r="I162" s="129"/>
      <c r="J162" s="5"/>
      <c r="K162" s="129"/>
      <c r="L162" s="5"/>
      <c r="AA162" s="6">
        <f>ABS((K129-D133)/I130)</f>
        <v>0.8829840484020502</v>
      </c>
    </row>
    <row r="163" spans="1:27" ht="12.75">
      <c r="A163" s="79"/>
      <c r="B163" s="76"/>
      <c r="C163" s="79"/>
      <c r="D163" s="76"/>
      <c r="E163" s="76"/>
      <c r="F163" s="76"/>
      <c r="G163" s="76"/>
      <c r="H163" s="76"/>
      <c r="I163" s="129"/>
      <c r="J163" s="5"/>
      <c r="K163" s="129"/>
      <c r="L163" s="5"/>
      <c r="AA163" s="6">
        <f>ABS((K129+K130)/I130)</f>
        <v>0.4885397999319201</v>
      </c>
    </row>
    <row r="164" spans="1:27" ht="12.75">
      <c r="A164" s="79"/>
      <c r="B164" s="76"/>
      <c r="C164" s="76"/>
      <c r="D164" s="81"/>
      <c r="E164" s="76"/>
      <c r="F164" s="79"/>
      <c r="G164" s="76"/>
      <c r="H164" s="79"/>
      <c r="I164" s="129"/>
      <c r="J164" s="5"/>
      <c r="K164" s="129"/>
      <c r="L164" s="5"/>
      <c r="AA164" s="6">
        <f>1/(1+(0.2316419*I133))</f>
        <v>0.8301951247513495</v>
      </c>
    </row>
    <row r="165" spans="1:27" ht="12.75">
      <c r="A165" s="79"/>
      <c r="B165" s="76"/>
      <c r="C165" s="76"/>
      <c r="D165" s="79"/>
      <c r="E165" s="76"/>
      <c r="F165" s="79"/>
      <c r="G165" s="76"/>
      <c r="H165" s="77"/>
      <c r="I165" s="129"/>
      <c r="J165" s="5"/>
      <c r="K165" s="129"/>
      <c r="L165" s="5"/>
      <c r="AA165" s="6">
        <f>1/(1+(0.2316419*J133))</f>
        <v>0.8301951247513495</v>
      </c>
    </row>
    <row r="166" spans="1:27" ht="12.75">
      <c r="A166" s="79"/>
      <c r="B166" s="76"/>
      <c r="C166" s="76"/>
      <c r="D166" s="79"/>
      <c r="E166" s="76"/>
      <c r="F166" s="79"/>
      <c r="G166" s="76"/>
      <c r="H166" s="76"/>
      <c r="I166" s="129"/>
      <c r="J166" s="5"/>
      <c r="K166" s="129"/>
      <c r="L166" s="5"/>
      <c r="AA166" s="6">
        <f>1/(1+(0.2316419*K133))</f>
        <v>0.898338380568595</v>
      </c>
    </row>
    <row r="167" spans="1:27" ht="12.75">
      <c r="A167" s="79"/>
      <c r="B167" s="76"/>
      <c r="C167" s="76"/>
      <c r="D167" s="77"/>
      <c r="E167" s="76"/>
      <c r="F167" s="79"/>
      <c r="G167" s="76"/>
      <c r="H167" s="77"/>
      <c r="I167" s="129"/>
      <c r="J167" s="5"/>
      <c r="K167" s="129"/>
      <c r="L167" s="5"/>
      <c r="AA167" s="6">
        <f>0.398942281*EXP(I133^2/-2)</f>
        <v>0.270152423829507</v>
      </c>
    </row>
    <row r="168" spans="1:27" ht="12.75">
      <c r="A168" s="76"/>
      <c r="B168" s="76"/>
      <c r="C168" s="76"/>
      <c r="D168" s="76"/>
      <c r="E168" s="76"/>
      <c r="F168" s="79"/>
      <c r="G168" s="76"/>
      <c r="H168" s="79"/>
      <c r="I168" s="129"/>
      <c r="J168" s="5"/>
      <c r="K168" s="129"/>
      <c r="L168" s="5"/>
      <c r="AA168" s="6">
        <f>0.398942281*EXP(J133^2/-2)</f>
        <v>0.270152423829507</v>
      </c>
    </row>
    <row r="169" spans="1:27" ht="12.75">
      <c r="A169" s="79"/>
      <c r="B169" s="76"/>
      <c r="C169" s="76"/>
      <c r="D169" s="76"/>
      <c r="E169" s="76"/>
      <c r="F169" s="76"/>
      <c r="G169" s="76"/>
      <c r="H169" s="76"/>
      <c r="I169" s="129"/>
      <c r="J169" s="5"/>
      <c r="K169" s="129"/>
      <c r="L169" s="5"/>
      <c r="AA169" s="6">
        <f>0.398942281*EXP(K133^2/-2)</f>
        <v>0.3540652362044271</v>
      </c>
    </row>
    <row r="170" spans="1:27" ht="12.75">
      <c r="A170" s="79"/>
      <c r="B170" s="76"/>
      <c r="C170" s="76"/>
      <c r="D170" s="76"/>
      <c r="E170" s="76"/>
      <c r="F170" s="76"/>
      <c r="G170" s="76"/>
      <c r="H170" s="76"/>
      <c r="I170" s="129"/>
      <c r="J170" s="5"/>
      <c r="K170" s="129"/>
      <c r="L170" s="5"/>
      <c r="AA170" s="6">
        <f>I135*(0.31938153*I134-0.356563782*I134^2+1.781477937*I134^3-1.821255978*I134^4+1.330274429*I134^5)</f>
        <v>0.18862240524922338</v>
      </c>
    </row>
    <row r="171" spans="1:27" ht="12.75">
      <c r="A171" s="79"/>
      <c r="B171" s="76"/>
      <c r="C171" s="76"/>
      <c r="D171" s="76"/>
      <c r="E171" s="76"/>
      <c r="F171" s="76"/>
      <c r="G171" s="76"/>
      <c r="H171" s="79"/>
      <c r="I171" s="129"/>
      <c r="J171" s="5"/>
      <c r="K171" s="129"/>
      <c r="L171" s="5"/>
      <c r="AA171" s="6">
        <f>J135*(0.31938153*J134-0.356563782*J134^2+1.781477937*J134^3-1.821255978*J134^4+1.330274429*J134^5)</f>
        <v>0.18862240524922338</v>
      </c>
    </row>
    <row r="172" spans="1:27" ht="12.75">
      <c r="A172" s="76"/>
      <c r="B172" s="76"/>
      <c r="C172" s="76"/>
      <c r="D172" s="79"/>
      <c r="E172" s="76"/>
      <c r="F172" s="76"/>
      <c r="G172" s="76"/>
      <c r="H172" s="80"/>
      <c r="I172" s="129"/>
      <c r="J172" s="5"/>
      <c r="K172" s="129"/>
      <c r="L172" s="5"/>
      <c r="AA172" s="6">
        <f>K135*(0.31938153*K134-0.356563782*K134^2+1.781477937*K134^3-1.821255978*K134^4+1.330274429*K134^5)</f>
        <v>0.312583771116801</v>
      </c>
    </row>
    <row r="173" spans="1:27" ht="12.75">
      <c r="A173" s="76"/>
      <c r="B173" s="76"/>
      <c r="C173" s="76"/>
      <c r="D173" s="76"/>
      <c r="E173" s="76"/>
      <c r="F173" s="76"/>
      <c r="G173" s="76"/>
      <c r="H173" s="76"/>
      <c r="I173" s="129"/>
      <c r="J173" s="5"/>
      <c r="K173" s="129"/>
      <c r="L173" s="5"/>
      <c r="AA173" s="6">
        <f>K129+0.97*I130</f>
        <v>7.198393628459186</v>
      </c>
    </row>
    <row r="174" spans="1:27" ht="12.75">
      <c r="A174" s="76"/>
      <c r="B174" s="76"/>
      <c r="C174" s="76"/>
      <c r="D174" s="76"/>
      <c r="E174" s="76"/>
      <c r="F174" s="76"/>
      <c r="G174" s="76"/>
      <c r="H174" s="76"/>
      <c r="I174" s="129"/>
      <c r="J174" s="5"/>
      <c r="K174" s="129"/>
      <c r="L174" s="5"/>
      <c r="AA174" s="6">
        <f>K129+0.43*I130</f>
        <v>-37.47310036758587</v>
      </c>
    </row>
    <row r="175" spans="1:27" ht="12.75">
      <c r="A175" s="76"/>
      <c r="B175" s="76"/>
      <c r="C175" s="76"/>
      <c r="D175" s="76"/>
      <c r="E175" s="76"/>
      <c r="F175" s="76"/>
      <c r="G175" s="76"/>
      <c r="H175" s="76"/>
      <c r="I175" s="129"/>
      <c r="J175" s="5"/>
      <c r="K175" s="129"/>
      <c r="L175" s="5"/>
      <c r="AA175" s="43">
        <f>K129</f>
        <v>-73.04484558665878</v>
      </c>
    </row>
    <row r="176" spans="1:27" ht="12.75">
      <c r="A176" s="76"/>
      <c r="B176" s="76"/>
      <c r="C176" s="76"/>
      <c r="D176" s="76"/>
      <c r="E176" s="76"/>
      <c r="F176" s="76"/>
      <c r="G176" s="76"/>
      <c r="H176" s="76"/>
      <c r="I176" s="129"/>
      <c r="J176" s="5"/>
      <c r="K176" s="129"/>
      <c r="L176" s="5"/>
      <c r="AA176" s="6">
        <f>K129-0.43*I130</f>
        <v>-108.61659080573169</v>
      </c>
    </row>
    <row r="177" spans="1:27" ht="12.75">
      <c r="A177" s="76"/>
      <c r="B177" s="76"/>
      <c r="C177" s="76"/>
      <c r="D177" s="76"/>
      <c r="E177" s="76"/>
      <c r="F177" s="76"/>
      <c r="G177" s="76"/>
      <c r="H177" s="76"/>
      <c r="I177" s="129"/>
      <c r="J177" s="5"/>
      <c r="K177" s="129"/>
      <c r="L177" s="5"/>
      <c r="AA177" s="6">
        <f>K129-0.97*I130</f>
        <v>-153.28808480177673</v>
      </c>
    </row>
    <row r="178" spans="1:27" ht="12.75">
      <c r="A178" s="76"/>
      <c r="B178" s="76"/>
      <c r="C178" s="76"/>
      <c r="D178" s="76"/>
      <c r="E178" s="76"/>
      <c r="F178" s="76"/>
      <c r="G178" s="76"/>
      <c r="H178" s="76"/>
      <c r="I178" s="129"/>
      <c r="J178" s="5"/>
      <c r="K178" s="129"/>
      <c r="L178" s="5"/>
      <c r="AA178" s="134">
        <f>K129+K130</f>
        <v>-40.414449517570034</v>
      </c>
    </row>
    <row r="179" spans="1:27" ht="12.75">
      <c r="A179" s="76"/>
      <c r="B179" s="76"/>
      <c r="C179" s="76"/>
      <c r="D179" s="76"/>
      <c r="E179" s="76"/>
      <c r="F179" s="76"/>
      <c r="G179" s="76"/>
      <c r="H179" s="76"/>
      <c r="I179" s="129"/>
      <c r="J179" s="5"/>
      <c r="K179" s="129"/>
      <c r="L179" s="5"/>
      <c r="AA179" s="6">
        <f>IF(K129+K130&lt;0,K136,1-K136)*100</f>
        <v>31.2583771116801</v>
      </c>
    </row>
    <row r="180" spans="1:12" ht="12.75">
      <c r="A180" s="76"/>
      <c r="B180" s="76"/>
      <c r="C180" s="76"/>
      <c r="D180" s="76"/>
      <c r="E180" s="76"/>
      <c r="F180" s="76"/>
      <c r="G180" s="76"/>
      <c r="H180" s="76"/>
      <c r="I180" s="129"/>
      <c r="J180" s="5"/>
      <c r="K180" s="129"/>
      <c r="L180" s="5"/>
    </row>
    <row r="181" spans="1:12" ht="12.75">
      <c r="A181" s="76"/>
      <c r="B181" s="76"/>
      <c r="C181" s="76"/>
      <c r="D181" s="76"/>
      <c r="E181" s="76"/>
      <c r="F181" s="76"/>
      <c r="G181" s="76"/>
      <c r="H181" s="76"/>
      <c r="I181" s="129"/>
      <c r="J181" s="5"/>
      <c r="K181" s="129"/>
      <c r="L181" s="5"/>
    </row>
    <row r="182" spans="1:12" ht="12.75">
      <c r="A182" s="76"/>
      <c r="B182" s="76"/>
      <c r="C182" s="76"/>
      <c r="D182" s="76"/>
      <c r="E182" s="76"/>
      <c r="F182" s="76"/>
      <c r="G182" s="76"/>
      <c r="H182" s="76"/>
      <c r="I182" s="129"/>
      <c r="J182" s="5"/>
      <c r="K182" s="129"/>
      <c r="L182" s="5"/>
    </row>
    <row r="183" spans="1:12" ht="12.75">
      <c r="A183" s="76"/>
      <c r="B183" s="76"/>
      <c r="C183" s="76"/>
      <c r="D183" s="76"/>
      <c r="E183" s="76"/>
      <c r="F183" s="76"/>
      <c r="G183" s="76"/>
      <c r="H183" s="76"/>
      <c r="I183" s="129"/>
      <c r="J183" s="5"/>
      <c r="K183" s="129"/>
      <c r="L183" s="5"/>
    </row>
    <row r="184" spans="1:12" ht="12.75">
      <c r="A184" s="76"/>
      <c r="B184" s="76"/>
      <c r="C184" s="76"/>
      <c r="D184" s="76"/>
      <c r="E184" s="76"/>
      <c r="F184" s="76"/>
      <c r="G184" s="76"/>
      <c r="H184" s="76"/>
      <c r="I184" s="129"/>
      <c r="J184" s="5"/>
      <c r="K184" s="129"/>
      <c r="L184" s="5"/>
    </row>
    <row r="185" spans="1:12" ht="12.75">
      <c r="A185" s="76"/>
      <c r="B185" s="76"/>
      <c r="C185" s="76"/>
      <c r="D185" s="76"/>
      <c r="E185" s="76"/>
      <c r="F185" s="76"/>
      <c r="G185" s="76"/>
      <c r="H185" s="76"/>
      <c r="I185" s="129"/>
      <c r="J185" s="5"/>
      <c r="K185" s="129"/>
      <c r="L185" s="5"/>
    </row>
    <row r="186" spans="1:12" ht="12.75">
      <c r="A186" s="76"/>
      <c r="B186" s="76"/>
      <c r="C186" s="76"/>
      <c r="D186" s="76"/>
      <c r="E186" s="76"/>
      <c r="F186" s="76"/>
      <c r="G186" s="76"/>
      <c r="H186" s="76"/>
      <c r="I186" s="129"/>
      <c r="J186" s="5"/>
      <c r="K186" s="129"/>
      <c r="L186" s="5"/>
    </row>
    <row r="187" spans="1:12" ht="12.75">
      <c r="A187" s="76"/>
      <c r="B187" s="76"/>
      <c r="C187" s="76"/>
      <c r="D187" s="76"/>
      <c r="E187" s="76"/>
      <c r="F187" s="76"/>
      <c r="G187" s="76"/>
      <c r="H187" s="76"/>
      <c r="I187" s="129"/>
      <c r="J187" s="5"/>
      <c r="K187" s="129"/>
      <c r="L187" s="5"/>
    </row>
    <row r="188" spans="1:12" ht="12.75">
      <c r="A188" s="76"/>
      <c r="B188" s="76"/>
      <c r="C188" s="76"/>
      <c r="D188" s="76"/>
      <c r="E188" s="76"/>
      <c r="F188" s="76"/>
      <c r="G188" s="76"/>
      <c r="H188" s="76"/>
      <c r="I188" s="129"/>
      <c r="J188" s="5"/>
      <c r="K188" s="129"/>
      <c r="L188" s="5"/>
    </row>
    <row r="189" spans="1:12" ht="12.75">
      <c r="A189" s="76"/>
      <c r="B189" s="76"/>
      <c r="C189" s="76"/>
      <c r="D189" s="76"/>
      <c r="E189" s="76"/>
      <c r="F189" s="76"/>
      <c r="G189" s="76"/>
      <c r="H189" s="76"/>
      <c r="I189" s="129"/>
      <c r="J189" s="5"/>
      <c r="K189" s="129"/>
      <c r="L189" s="5"/>
    </row>
    <row r="190" spans="1:12" ht="12.75">
      <c r="A190" s="76"/>
      <c r="B190" s="76"/>
      <c r="C190" s="76"/>
      <c r="D190" s="76"/>
      <c r="E190" s="76"/>
      <c r="F190" s="76"/>
      <c r="G190" s="76"/>
      <c r="H190" s="76"/>
      <c r="I190" s="129"/>
      <c r="J190" s="5"/>
      <c r="K190" s="129"/>
      <c r="L190" s="5"/>
    </row>
    <row r="191" spans="1:12" ht="12.75">
      <c r="A191" s="76"/>
      <c r="B191" s="76"/>
      <c r="C191" s="76"/>
      <c r="D191" s="76"/>
      <c r="E191" s="76"/>
      <c r="F191" s="76"/>
      <c r="G191" s="76"/>
      <c r="H191" s="76"/>
      <c r="I191" s="129"/>
      <c r="J191" s="5"/>
      <c r="K191" s="129"/>
      <c r="L191" s="5"/>
    </row>
    <row r="192" spans="1:12" ht="12.75">
      <c r="A192" s="76"/>
      <c r="B192" s="76"/>
      <c r="C192" s="76"/>
      <c r="D192" s="76"/>
      <c r="E192" s="76"/>
      <c r="F192" s="76"/>
      <c r="G192" s="76"/>
      <c r="H192" s="76"/>
      <c r="I192" s="129"/>
      <c r="J192" s="5"/>
      <c r="K192" s="129"/>
      <c r="L192" s="5"/>
    </row>
    <row r="193" spans="1:12" ht="12.75">
      <c r="A193" s="76"/>
      <c r="B193" s="76"/>
      <c r="C193" s="76"/>
      <c r="D193" s="76"/>
      <c r="E193" s="76"/>
      <c r="F193" s="76"/>
      <c r="G193" s="76"/>
      <c r="H193" s="76"/>
      <c r="I193" s="129"/>
      <c r="J193" s="5"/>
      <c r="K193" s="129"/>
      <c r="L193" s="5"/>
    </row>
    <row r="194" spans="1:12" ht="12.75">
      <c r="A194" s="76"/>
      <c r="B194" s="76"/>
      <c r="C194" s="76"/>
      <c r="D194" s="76"/>
      <c r="E194" s="76"/>
      <c r="F194" s="76"/>
      <c r="G194" s="76"/>
      <c r="H194" s="76"/>
      <c r="I194" s="129"/>
      <c r="J194" s="5"/>
      <c r="K194" s="129"/>
      <c r="L194" s="5"/>
    </row>
    <row r="195" spans="1:12" ht="12.75">
      <c r="A195" s="76"/>
      <c r="B195" s="76"/>
      <c r="C195" s="76"/>
      <c r="D195" s="76"/>
      <c r="E195" s="76"/>
      <c r="F195" s="76"/>
      <c r="G195" s="76"/>
      <c r="H195" s="76"/>
      <c r="I195" s="129"/>
      <c r="J195" s="5"/>
      <c r="K195" s="129"/>
      <c r="L195" s="5"/>
    </row>
    <row r="196" spans="1:12" ht="12.75">
      <c r="A196" s="76"/>
      <c r="B196" s="76"/>
      <c r="C196" s="76"/>
      <c r="D196" s="76"/>
      <c r="E196" s="76"/>
      <c r="F196" s="76"/>
      <c r="G196" s="76"/>
      <c r="H196" s="76"/>
      <c r="I196" s="129"/>
      <c r="J196" s="5"/>
      <c r="K196" s="129"/>
      <c r="L196" s="5"/>
    </row>
    <row r="197" spans="1:12" ht="12.75">
      <c r="A197" s="76"/>
      <c r="B197" s="76"/>
      <c r="C197" s="76"/>
      <c r="D197" s="76"/>
      <c r="E197" s="76"/>
      <c r="F197" s="76"/>
      <c r="G197" s="76"/>
      <c r="H197" s="76"/>
      <c r="I197" s="129"/>
      <c r="J197" s="5"/>
      <c r="K197" s="129"/>
      <c r="L197" s="5"/>
    </row>
    <row r="198" spans="1:12" ht="12.75">
      <c r="A198" s="76"/>
      <c r="B198" s="76"/>
      <c r="C198" s="76"/>
      <c r="D198" s="76"/>
      <c r="E198" s="76"/>
      <c r="F198" s="76"/>
      <c r="G198" s="76"/>
      <c r="H198" s="76"/>
      <c r="I198" s="129"/>
      <c r="J198" s="5"/>
      <c r="K198" s="129"/>
      <c r="L198" s="5"/>
    </row>
    <row r="199" spans="1:12" ht="12.75">
      <c r="A199" s="76"/>
      <c r="B199" s="76"/>
      <c r="C199" s="76"/>
      <c r="D199" s="76"/>
      <c r="E199" s="76"/>
      <c r="F199" s="76"/>
      <c r="G199" s="76"/>
      <c r="H199" s="76"/>
      <c r="I199" s="129"/>
      <c r="J199" s="5"/>
      <c r="K199" s="129"/>
      <c r="L199" s="5"/>
    </row>
    <row r="200" spans="1:12" ht="12.75">
      <c r="A200" s="76"/>
      <c r="B200" s="76"/>
      <c r="C200" s="76"/>
      <c r="D200" s="76"/>
      <c r="E200" s="76"/>
      <c r="F200" s="76"/>
      <c r="G200" s="76"/>
      <c r="H200" s="76"/>
      <c r="I200" s="129"/>
      <c r="J200" s="5"/>
      <c r="K200" s="129"/>
      <c r="L200" s="5"/>
    </row>
    <row r="201" spans="1:12" ht="12.75">
      <c r="A201" s="76"/>
      <c r="B201" s="76"/>
      <c r="C201" s="76"/>
      <c r="D201" s="76"/>
      <c r="E201" s="76"/>
      <c r="F201" s="76"/>
      <c r="G201" s="76"/>
      <c r="H201" s="76"/>
      <c r="I201" s="129"/>
      <c r="J201" s="5"/>
      <c r="K201" s="129"/>
      <c r="L201" s="5"/>
    </row>
    <row r="202" spans="1:11" ht="12.75">
      <c r="A202" s="76"/>
      <c r="B202" s="76"/>
      <c r="C202" s="76"/>
      <c r="D202" s="76"/>
      <c r="E202" s="76"/>
      <c r="F202" s="76"/>
      <c r="G202" s="76"/>
      <c r="H202" s="76"/>
      <c r="I202" s="133"/>
      <c r="J202" s="82"/>
      <c r="K202" s="133"/>
    </row>
    <row r="203" spans="1:11" ht="12.75">
      <c r="A203" s="76"/>
      <c r="B203" s="76"/>
      <c r="C203" s="76"/>
      <c r="D203" s="76"/>
      <c r="E203" s="76"/>
      <c r="F203" s="76"/>
      <c r="G203" s="76"/>
      <c r="H203" s="76"/>
      <c r="I203" s="133"/>
      <c r="J203" s="82"/>
      <c r="K203" s="133"/>
    </row>
    <row r="204" spans="1:11" ht="12.75">
      <c r="A204" s="76"/>
      <c r="B204" s="76"/>
      <c r="C204" s="76"/>
      <c r="D204" s="76"/>
      <c r="E204" s="76"/>
      <c r="F204" s="76"/>
      <c r="G204" s="76"/>
      <c r="H204" s="76"/>
      <c r="I204" s="133"/>
      <c r="J204" s="82"/>
      <c r="K204" s="133"/>
    </row>
    <row r="205" spans="1:11" ht="12.75">
      <c r="A205" s="76"/>
      <c r="B205" s="76"/>
      <c r="C205" s="76"/>
      <c r="D205" s="76"/>
      <c r="E205" s="76"/>
      <c r="F205" s="76"/>
      <c r="G205" s="76"/>
      <c r="H205" s="76"/>
      <c r="I205" s="133"/>
      <c r="J205" s="82"/>
      <c r="K205" s="133"/>
    </row>
    <row r="206" spans="1:11" ht="12.75">
      <c r="A206" s="82"/>
      <c r="B206" s="82"/>
      <c r="C206" s="82"/>
      <c r="D206" s="82"/>
      <c r="E206" s="82"/>
      <c r="F206" s="82"/>
      <c r="G206" s="82"/>
      <c r="H206" s="82"/>
      <c r="I206" s="133"/>
      <c r="J206" s="82"/>
      <c r="K206" s="133"/>
    </row>
    <row r="207" spans="1:11" ht="12.75">
      <c r="A207" s="82"/>
      <c r="B207" s="82"/>
      <c r="C207" s="82"/>
      <c r="D207" s="82"/>
      <c r="E207" s="82"/>
      <c r="F207" s="82"/>
      <c r="G207" s="82"/>
      <c r="H207" s="82"/>
      <c r="I207" s="133"/>
      <c r="J207" s="82"/>
      <c r="K207" s="133"/>
    </row>
    <row r="208" spans="1:11" ht="12.75">
      <c r="A208" s="82"/>
      <c r="B208" s="82"/>
      <c r="C208" s="82"/>
      <c r="D208" s="82"/>
      <c r="E208" s="82"/>
      <c r="F208" s="82"/>
      <c r="G208" s="82"/>
      <c r="H208" s="82"/>
      <c r="I208" s="133"/>
      <c r="J208" s="82"/>
      <c r="K208" s="133"/>
    </row>
    <row r="209" spans="1:11" ht="12.75">
      <c r="A209" s="82"/>
      <c r="B209" s="82"/>
      <c r="C209" s="82"/>
      <c r="D209" s="82"/>
      <c r="E209" s="82"/>
      <c r="F209" s="82"/>
      <c r="G209" s="82"/>
      <c r="H209" s="82"/>
      <c r="I209" s="133"/>
      <c r="J209" s="82"/>
      <c r="K209" s="133"/>
    </row>
    <row r="210" spans="1:11" ht="12.75">
      <c r="A210" s="82"/>
      <c r="B210" s="82"/>
      <c r="C210" s="82"/>
      <c r="D210" s="82"/>
      <c r="E210" s="82"/>
      <c r="F210" s="82"/>
      <c r="G210" s="82"/>
      <c r="H210" s="82"/>
      <c r="I210" s="133"/>
      <c r="J210" s="82"/>
      <c r="K210" s="133"/>
    </row>
    <row r="211" spans="1:11" ht="12.75">
      <c r="A211" s="82"/>
      <c r="B211" s="82"/>
      <c r="C211" s="82"/>
      <c r="D211" s="82"/>
      <c r="E211" s="82"/>
      <c r="F211" s="82"/>
      <c r="G211" s="82"/>
      <c r="H211" s="82"/>
      <c r="I211" s="133"/>
      <c r="J211" s="82"/>
      <c r="K211" s="133"/>
    </row>
    <row r="212" spans="1:11" ht="12.75">
      <c r="A212" s="82"/>
      <c r="B212" s="82"/>
      <c r="C212" s="82"/>
      <c r="D212" s="82"/>
      <c r="E212" s="82"/>
      <c r="F212" s="82"/>
      <c r="G212" s="82"/>
      <c r="H212" s="82"/>
      <c r="I212" s="133"/>
      <c r="J212" s="82"/>
      <c r="K212" s="133"/>
    </row>
    <row r="213" spans="1:11" ht="12.75">
      <c r="A213" s="82"/>
      <c r="B213" s="82"/>
      <c r="C213" s="82"/>
      <c r="D213" s="82"/>
      <c r="E213" s="82"/>
      <c r="F213" s="82"/>
      <c r="G213" s="82"/>
      <c r="H213" s="82"/>
      <c r="I213" s="133"/>
      <c r="J213" s="82"/>
      <c r="K213" s="133"/>
    </row>
    <row r="214" spans="1:11" ht="12.75">
      <c r="A214" s="82"/>
      <c r="B214" s="82"/>
      <c r="C214" s="82"/>
      <c r="D214" s="82"/>
      <c r="E214" s="82"/>
      <c r="F214" s="82"/>
      <c r="G214" s="82"/>
      <c r="H214" s="82"/>
      <c r="I214" s="133"/>
      <c r="J214" s="82"/>
      <c r="K214" s="133"/>
    </row>
    <row r="215" spans="1:11" ht="12.75">
      <c r="A215" s="82"/>
      <c r="B215" s="82"/>
      <c r="C215" s="82"/>
      <c r="D215" s="82"/>
      <c r="E215" s="82"/>
      <c r="F215" s="82"/>
      <c r="G215" s="82"/>
      <c r="H215" s="82"/>
      <c r="I215" s="133"/>
      <c r="J215" s="82"/>
      <c r="K215" s="133"/>
    </row>
    <row r="216" spans="1:11" ht="12.75">
      <c r="A216" s="82"/>
      <c r="B216" s="82"/>
      <c r="C216" s="82"/>
      <c r="D216" s="82"/>
      <c r="E216" s="82"/>
      <c r="F216" s="82"/>
      <c r="G216" s="82"/>
      <c r="H216" s="82"/>
      <c r="I216" s="133"/>
      <c r="J216" s="82"/>
      <c r="K216" s="133"/>
    </row>
    <row r="217" spans="1:11" ht="12.75">
      <c r="A217" s="82"/>
      <c r="B217" s="82"/>
      <c r="C217" s="82"/>
      <c r="D217" s="82"/>
      <c r="E217" s="82"/>
      <c r="F217" s="82"/>
      <c r="G217" s="82"/>
      <c r="H217" s="82"/>
      <c r="I217" s="133"/>
      <c r="J217" s="82"/>
      <c r="K217" s="133"/>
    </row>
    <row r="218" spans="1:11" ht="12.75">
      <c r="A218" s="82"/>
      <c r="B218" s="82"/>
      <c r="C218" s="82"/>
      <c r="D218" s="82"/>
      <c r="E218" s="82"/>
      <c r="F218" s="82"/>
      <c r="G218" s="82"/>
      <c r="H218" s="82"/>
      <c r="I218" s="133"/>
      <c r="J218" s="82"/>
      <c r="K218" s="133"/>
    </row>
    <row r="219" spans="1:11" ht="12.75">
      <c r="A219" s="82"/>
      <c r="B219" s="82"/>
      <c r="C219" s="82"/>
      <c r="D219" s="82"/>
      <c r="E219" s="82"/>
      <c r="F219" s="82"/>
      <c r="G219" s="82"/>
      <c r="H219" s="82"/>
      <c r="I219" s="133"/>
      <c r="J219" s="82"/>
      <c r="K219" s="133"/>
    </row>
    <row r="220" spans="1:11" ht="12.75">
      <c r="A220" s="82"/>
      <c r="B220" s="82"/>
      <c r="C220" s="82"/>
      <c r="D220" s="82"/>
      <c r="E220" s="82"/>
      <c r="F220" s="82"/>
      <c r="G220" s="82"/>
      <c r="H220" s="82"/>
      <c r="I220" s="133"/>
      <c r="J220" s="82"/>
      <c r="K220" s="133"/>
    </row>
    <row r="221" spans="1:11" ht="12.75">
      <c r="A221" s="82"/>
      <c r="B221" s="82"/>
      <c r="C221" s="82"/>
      <c r="D221" s="82"/>
      <c r="E221" s="82"/>
      <c r="F221" s="82"/>
      <c r="G221" s="82"/>
      <c r="H221" s="82"/>
      <c r="I221" s="133"/>
      <c r="J221" s="82"/>
      <c r="K221" s="133"/>
    </row>
    <row r="222" spans="1:11" ht="12.75">
      <c r="A222" s="82"/>
      <c r="B222" s="82"/>
      <c r="C222" s="82"/>
      <c r="D222" s="82"/>
      <c r="E222" s="82"/>
      <c r="F222" s="82"/>
      <c r="G222" s="82"/>
      <c r="H222" s="82"/>
      <c r="I222" s="133"/>
      <c r="J222" s="82"/>
      <c r="K222" s="133"/>
    </row>
    <row r="223" spans="1:11" ht="12.75">
      <c r="A223" s="82"/>
      <c r="B223" s="82"/>
      <c r="C223" s="82"/>
      <c r="D223" s="82"/>
      <c r="E223" s="82"/>
      <c r="F223" s="82"/>
      <c r="G223" s="82"/>
      <c r="H223" s="82"/>
      <c r="I223" s="133"/>
      <c r="J223" s="82"/>
      <c r="K223" s="133"/>
    </row>
    <row r="224" spans="1:11" ht="12.75">
      <c r="A224" s="82"/>
      <c r="B224" s="82"/>
      <c r="C224" s="82"/>
      <c r="D224" s="82"/>
      <c r="E224" s="82"/>
      <c r="F224" s="82"/>
      <c r="G224" s="82"/>
      <c r="H224" s="82"/>
      <c r="I224" s="133"/>
      <c r="J224" s="82"/>
      <c r="K224" s="133"/>
    </row>
    <row r="225" spans="1:11" ht="12.75">
      <c r="A225" s="82"/>
      <c r="B225" s="82"/>
      <c r="C225" s="82"/>
      <c r="D225" s="82"/>
      <c r="E225" s="82"/>
      <c r="F225" s="82"/>
      <c r="G225" s="82"/>
      <c r="H225" s="82"/>
      <c r="I225" s="133"/>
      <c r="J225" s="82"/>
      <c r="K225" s="133"/>
    </row>
    <row r="226" spans="1:11" ht="12.75">
      <c r="A226" s="82"/>
      <c r="B226" s="82"/>
      <c r="C226" s="82"/>
      <c r="D226" s="82"/>
      <c r="E226" s="82"/>
      <c r="F226" s="82"/>
      <c r="G226" s="82"/>
      <c r="H226" s="82"/>
      <c r="I226" s="133"/>
      <c r="J226" s="82"/>
      <c r="K226" s="133"/>
    </row>
    <row r="227" spans="1:11" ht="12.75">
      <c r="A227" s="82"/>
      <c r="B227" s="82"/>
      <c r="C227" s="82"/>
      <c r="D227" s="82"/>
      <c r="E227" s="82"/>
      <c r="F227" s="82"/>
      <c r="G227" s="82"/>
      <c r="H227" s="82"/>
      <c r="I227" s="133"/>
      <c r="J227" s="82"/>
      <c r="K227" s="133"/>
    </row>
    <row r="228" spans="1:11" ht="12.75">
      <c r="A228" s="82"/>
      <c r="B228" s="82"/>
      <c r="C228" s="82"/>
      <c r="D228" s="82"/>
      <c r="E228" s="82"/>
      <c r="F228" s="82"/>
      <c r="G228" s="82"/>
      <c r="H228" s="82"/>
      <c r="I228" s="133"/>
      <c r="J228" s="82"/>
      <c r="K228" s="133"/>
    </row>
    <row r="229" spans="1:11" ht="12.75">
      <c r="A229" s="82"/>
      <c r="B229" s="82"/>
      <c r="C229" s="82"/>
      <c r="D229" s="82"/>
      <c r="E229" s="82"/>
      <c r="F229" s="82"/>
      <c r="G229" s="82"/>
      <c r="H229" s="82"/>
      <c r="I229" s="133"/>
      <c r="J229" s="82"/>
      <c r="K229" s="133"/>
    </row>
    <row r="230" spans="1:11" ht="12.75">
      <c r="A230" s="82"/>
      <c r="B230" s="82"/>
      <c r="C230" s="82"/>
      <c r="D230" s="82"/>
      <c r="E230" s="82"/>
      <c r="F230" s="82"/>
      <c r="G230" s="82"/>
      <c r="H230" s="82"/>
      <c r="I230" s="133"/>
      <c r="J230" s="82"/>
      <c r="K230" s="133"/>
    </row>
    <row r="231" spans="1:11" ht="12.75">
      <c r="A231" s="82"/>
      <c r="B231" s="82"/>
      <c r="C231" s="82"/>
      <c r="D231" s="82"/>
      <c r="E231" s="82"/>
      <c r="F231" s="82"/>
      <c r="G231" s="82"/>
      <c r="H231" s="82"/>
      <c r="I231" s="133"/>
      <c r="J231" s="82"/>
      <c r="K231" s="133"/>
    </row>
    <row r="232" spans="1:11" ht="12.75">
      <c r="A232" s="82"/>
      <c r="B232" s="82"/>
      <c r="C232" s="82"/>
      <c r="D232" s="82"/>
      <c r="E232" s="82"/>
      <c r="F232" s="82"/>
      <c r="G232" s="82"/>
      <c r="H232" s="82"/>
      <c r="I232" s="133"/>
      <c r="J232" s="82"/>
      <c r="K232" s="133"/>
    </row>
    <row r="233" spans="1:11" ht="12.75">
      <c r="A233" s="82"/>
      <c r="B233" s="82"/>
      <c r="C233" s="82"/>
      <c r="D233" s="82"/>
      <c r="E233" s="82"/>
      <c r="F233" s="82"/>
      <c r="G233" s="82"/>
      <c r="H233" s="82"/>
      <c r="I233" s="133"/>
      <c r="J233" s="82"/>
      <c r="K233" s="133"/>
    </row>
    <row r="234" spans="1:11" ht="12.75">
      <c r="A234" s="82"/>
      <c r="B234" s="82"/>
      <c r="C234" s="82"/>
      <c r="D234" s="82"/>
      <c r="E234" s="82"/>
      <c r="F234" s="82"/>
      <c r="G234" s="82"/>
      <c r="H234" s="82"/>
      <c r="I234" s="133"/>
      <c r="J234" s="82"/>
      <c r="K234" s="133"/>
    </row>
    <row r="235" spans="1:11" ht="12.75">
      <c r="A235" s="82"/>
      <c r="B235" s="82"/>
      <c r="C235" s="82"/>
      <c r="D235" s="82"/>
      <c r="E235" s="82"/>
      <c r="F235" s="82"/>
      <c r="G235" s="82"/>
      <c r="H235" s="82"/>
      <c r="I235" s="133"/>
      <c r="J235" s="82"/>
      <c r="K235" s="133"/>
    </row>
    <row r="236" spans="1:11" ht="12.75">
      <c r="A236" s="82"/>
      <c r="B236" s="82"/>
      <c r="C236" s="82"/>
      <c r="D236" s="82"/>
      <c r="E236" s="82"/>
      <c r="F236" s="82"/>
      <c r="G236" s="82"/>
      <c r="H236" s="82"/>
      <c r="I236" s="133"/>
      <c r="J236" s="82"/>
      <c r="K236" s="133"/>
    </row>
    <row r="237" spans="1:11" ht="12.75">
      <c r="A237" s="82"/>
      <c r="B237" s="82"/>
      <c r="C237" s="82"/>
      <c r="D237" s="82"/>
      <c r="E237" s="82"/>
      <c r="F237" s="82"/>
      <c r="G237" s="82"/>
      <c r="H237" s="82"/>
      <c r="I237" s="133"/>
      <c r="J237" s="82"/>
      <c r="K237" s="133"/>
    </row>
    <row r="238" spans="1:11" ht="12.75">
      <c r="A238" s="82"/>
      <c r="B238" s="82"/>
      <c r="C238" s="82"/>
      <c r="D238" s="82"/>
      <c r="E238" s="82"/>
      <c r="F238" s="82"/>
      <c r="G238" s="82"/>
      <c r="H238" s="82"/>
      <c r="I238" s="133"/>
      <c r="J238" s="82"/>
      <c r="K238" s="133"/>
    </row>
    <row r="239" spans="1:11" ht="12.75">
      <c r="A239" s="82"/>
      <c r="B239" s="82"/>
      <c r="C239" s="82"/>
      <c r="D239" s="82"/>
      <c r="E239" s="82"/>
      <c r="F239" s="82"/>
      <c r="G239" s="82"/>
      <c r="H239" s="82"/>
      <c r="I239" s="133"/>
      <c r="J239" s="82"/>
      <c r="K239" s="133"/>
    </row>
    <row r="240" spans="1:11" ht="12.75">
      <c r="A240" s="82"/>
      <c r="B240" s="82"/>
      <c r="C240" s="82"/>
      <c r="D240" s="82"/>
      <c r="E240" s="82"/>
      <c r="F240" s="82"/>
      <c r="G240" s="82"/>
      <c r="H240" s="82"/>
      <c r="I240" s="133"/>
      <c r="J240" s="82"/>
      <c r="K240" s="133"/>
    </row>
    <row r="241" spans="1:11" ht="12.75">
      <c r="A241" s="82"/>
      <c r="B241" s="82"/>
      <c r="C241" s="82"/>
      <c r="D241" s="82"/>
      <c r="E241" s="82"/>
      <c r="F241" s="82"/>
      <c r="G241" s="82"/>
      <c r="H241" s="82"/>
      <c r="I241" s="133"/>
      <c r="J241" s="82"/>
      <c r="K241" s="133"/>
    </row>
    <row r="242" spans="1:11" ht="12.75">
      <c r="A242" s="82"/>
      <c r="B242" s="82"/>
      <c r="C242" s="82"/>
      <c r="D242" s="82"/>
      <c r="E242" s="82"/>
      <c r="F242" s="82"/>
      <c r="G242" s="82"/>
      <c r="H242" s="82"/>
      <c r="I242" s="133"/>
      <c r="J242" s="82"/>
      <c r="K242" s="133"/>
    </row>
    <row r="243" spans="1:11" ht="12.75">
      <c r="A243" s="82"/>
      <c r="B243" s="82"/>
      <c r="C243" s="82"/>
      <c r="D243" s="82"/>
      <c r="E243" s="82"/>
      <c r="F243" s="82"/>
      <c r="G243" s="82"/>
      <c r="H243" s="82"/>
      <c r="I243" s="133"/>
      <c r="J243" s="82"/>
      <c r="K243" s="133"/>
    </row>
    <row r="244" spans="1:11" ht="12.75">
      <c r="A244" s="82"/>
      <c r="B244" s="82"/>
      <c r="C244" s="82"/>
      <c r="D244" s="82"/>
      <c r="E244" s="82"/>
      <c r="F244" s="82"/>
      <c r="G244" s="82"/>
      <c r="H244" s="82"/>
      <c r="I244" s="133"/>
      <c r="J244" s="82"/>
      <c r="K244" s="133"/>
    </row>
    <row r="245" spans="1:11" ht="12.75">
      <c r="A245" s="82"/>
      <c r="B245" s="82"/>
      <c r="C245" s="82"/>
      <c r="D245" s="82"/>
      <c r="E245" s="82"/>
      <c r="F245" s="82"/>
      <c r="G245" s="82"/>
      <c r="H245" s="82"/>
      <c r="I245" s="133"/>
      <c r="J245" s="82"/>
      <c r="K245" s="133"/>
    </row>
    <row r="246" spans="1:11" ht="12.75">
      <c r="A246" s="82"/>
      <c r="B246" s="82"/>
      <c r="C246" s="82"/>
      <c r="D246" s="82"/>
      <c r="E246" s="82"/>
      <c r="F246" s="82"/>
      <c r="G246" s="82"/>
      <c r="H246" s="82"/>
      <c r="I246" s="133"/>
      <c r="J246" s="82"/>
      <c r="K246" s="133"/>
    </row>
    <row r="247" spans="1:11" ht="12.75">
      <c r="A247" s="82"/>
      <c r="B247" s="82"/>
      <c r="C247" s="82"/>
      <c r="D247" s="82"/>
      <c r="E247" s="82"/>
      <c r="F247" s="82"/>
      <c r="G247" s="82"/>
      <c r="H247" s="82"/>
      <c r="I247" s="133"/>
      <c r="J247" s="82"/>
      <c r="K247" s="133"/>
    </row>
    <row r="248" spans="1:11" ht="12.75">
      <c r="A248" s="82"/>
      <c r="B248" s="82"/>
      <c r="C248" s="82"/>
      <c r="D248" s="82"/>
      <c r="E248" s="82"/>
      <c r="F248" s="82"/>
      <c r="G248" s="82"/>
      <c r="H248" s="82"/>
      <c r="I248" s="133"/>
      <c r="J248" s="82"/>
      <c r="K248" s="133"/>
    </row>
    <row r="249" spans="1:11" ht="12.75">
      <c r="A249" s="82"/>
      <c r="B249" s="82"/>
      <c r="C249" s="82"/>
      <c r="D249" s="82"/>
      <c r="E249" s="82"/>
      <c r="F249" s="82"/>
      <c r="G249" s="82"/>
      <c r="H249" s="82"/>
      <c r="I249" s="133"/>
      <c r="J249" s="82"/>
      <c r="K249" s="133"/>
    </row>
    <row r="250" spans="1:11" ht="12.75">
      <c r="A250" s="82"/>
      <c r="B250" s="82"/>
      <c r="C250" s="82"/>
      <c r="D250" s="82"/>
      <c r="E250" s="82"/>
      <c r="F250" s="82"/>
      <c r="G250" s="82"/>
      <c r="H250" s="82"/>
      <c r="I250" s="133"/>
      <c r="J250" s="82"/>
      <c r="K250" s="133"/>
    </row>
    <row r="251" spans="1:11" ht="12.75">
      <c r="A251" s="82"/>
      <c r="B251" s="82"/>
      <c r="C251" s="82"/>
      <c r="D251" s="82"/>
      <c r="E251" s="82"/>
      <c r="F251" s="82"/>
      <c r="G251" s="82"/>
      <c r="H251" s="82"/>
      <c r="I251" s="133"/>
      <c r="J251" s="82"/>
      <c r="K251" s="133"/>
    </row>
    <row r="252" spans="1:11" ht="12.75">
      <c r="A252" s="82"/>
      <c r="B252" s="82"/>
      <c r="C252" s="82"/>
      <c r="D252" s="82"/>
      <c r="E252" s="82"/>
      <c r="F252" s="82"/>
      <c r="G252" s="82"/>
      <c r="H252" s="82"/>
      <c r="I252" s="133"/>
      <c r="J252" s="82"/>
      <c r="K252" s="133"/>
    </row>
    <row r="253" spans="1:11" ht="12.75">
      <c r="A253" s="82"/>
      <c r="B253" s="82"/>
      <c r="C253" s="82"/>
      <c r="D253" s="82"/>
      <c r="E253" s="82"/>
      <c r="F253" s="82"/>
      <c r="G253" s="82"/>
      <c r="H253" s="82"/>
      <c r="I253" s="133"/>
      <c r="J253" s="82"/>
      <c r="K253" s="133"/>
    </row>
    <row r="254" spans="1:11" ht="12.75">
      <c r="A254" s="82"/>
      <c r="B254" s="82"/>
      <c r="C254" s="82"/>
      <c r="D254" s="82"/>
      <c r="E254" s="82"/>
      <c r="F254" s="82"/>
      <c r="G254" s="82"/>
      <c r="H254" s="82"/>
      <c r="I254" s="133"/>
      <c r="J254" s="82"/>
      <c r="K254" s="133"/>
    </row>
    <row r="255" spans="1:11" ht="12.75">
      <c r="A255" s="82"/>
      <c r="B255" s="82"/>
      <c r="C255" s="82"/>
      <c r="D255" s="82"/>
      <c r="E255" s="82"/>
      <c r="F255" s="82"/>
      <c r="G255" s="82"/>
      <c r="H255" s="82"/>
      <c r="I255" s="133"/>
      <c r="J255" s="82"/>
      <c r="K255" s="133"/>
    </row>
    <row r="256" spans="1:11" ht="12.75">
      <c r="A256" s="82"/>
      <c r="B256" s="82"/>
      <c r="C256" s="82"/>
      <c r="D256" s="82"/>
      <c r="E256" s="82"/>
      <c r="F256" s="82"/>
      <c r="G256" s="82"/>
      <c r="H256" s="82"/>
      <c r="I256" s="133"/>
      <c r="J256" s="82"/>
      <c r="K256" s="133"/>
    </row>
    <row r="257" spans="1:11" ht="12.75">
      <c r="A257" s="82"/>
      <c r="B257" s="82"/>
      <c r="C257" s="82"/>
      <c r="D257" s="82"/>
      <c r="E257" s="82"/>
      <c r="F257" s="82"/>
      <c r="G257" s="82"/>
      <c r="H257" s="82"/>
      <c r="I257" s="133"/>
      <c r="J257" s="82"/>
      <c r="K257" s="133"/>
    </row>
    <row r="258" spans="1:11" ht="12.75">
      <c r="A258" s="82"/>
      <c r="B258" s="82"/>
      <c r="C258" s="82"/>
      <c r="D258" s="82"/>
      <c r="E258" s="82"/>
      <c r="F258" s="82"/>
      <c r="G258" s="82"/>
      <c r="H258" s="82"/>
      <c r="I258" s="133"/>
      <c r="J258" s="82"/>
      <c r="K258" s="133"/>
    </row>
    <row r="259" spans="1:11" ht="12.75">
      <c r="A259" s="82"/>
      <c r="B259" s="82"/>
      <c r="C259" s="82"/>
      <c r="D259" s="82"/>
      <c r="E259" s="82"/>
      <c r="F259" s="82"/>
      <c r="G259" s="82"/>
      <c r="H259" s="82"/>
      <c r="I259" s="133"/>
      <c r="J259" s="82"/>
      <c r="K259" s="133"/>
    </row>
    <row r="260" spans="1:11" ht="12.75">
      <c r="A260" s="82"/>
      <c r="B260" s="82"/>
      <c r="C260" s="82"/>
      <c r="D260" s="82"/>
      <c r="E260" s="82"/>
      <c r="F260" s="82"/>
      <c r="G260" s="82"/>
      <c r="H260" s="82"/>
      <c r="I260" s="133"/>
      <c r="J260" s="82"/>
      <c r="K260" s="133"/>
    </row>
    <row r="261" spans="1:11" ht="12.75">
      <c r="A261" s="82"/>
      <c r="B261" s="82"/>
      <c r="C261" s="82"/>
      <c r="D261" s="82"/>
      <c r="E261" s="82"/>
      <c r="F261" s="82"/>
      <c r="G261" s="82"/>
      <c r="H261" s="82"/>
      <c r="I261" s="133"/>
      <c r="J261" s="82"/>
      <c r="K261" s="133"/>
    </row>
    <row r="262" spans="1:11" ht="12.75">
      <c r="A262" s="82"/>
      <c r="B262" s="82"/>
      <c r="C262" s="82"/>
      <c r="D262" s="82"/>
      <c r="E262" s="82"/>
      <c r="F262" s="82"/>
      <c r="G262" s="82"/>
      <c r="H262" s="82"/>
      <c r="I262" s="133"/>
      <c r="J262" s="82"/>
      <c r="K262" s="133"/>
    </row>
    <row r="263" spans="1:11" ht="12.75">
      <c r="A263" s="82"/>
      <c r="B263" s="82"/>
      <c r="C263" s="82"/>
      <c r="D263" s="82"/>
      <c r="E263" s="82"/>
      <c r="F263" s="82"/>
      <c r="G263" s="82"/>
      <c r="H263" s="82"/>
      <c r="I263" s="133"/>
      <c r="J263" s="82"/>
      <c r="K263" s="133"/>
    </row>
    <row r="264" spans="1:11" ht="12.75">
      <c r="A264" s="82"/>
      <c r="B264" s="82"/>
      <c r="C264" s="82"/>
      <c r="D264" s="82"/>
      <c r="E264" s="82"/>
      <c r="F264" s="82"/>
      <c r="G264" s="82"/>
      <c r="H264" s="82"/>
      <c r="I264" s="133"/>
      <c r="J264" s="82"/>
      <c r="K264" s="133"/>
    </row>
    <row r="265" spans="1:11" ht="12.75">
      <c r="A265" s="82"/>
      <c r="B265" s="82"/>
      <c r="C265" s="82"/>
      <c r="D265" s="82"/>
      <c r="E265" s="82"/>
      <c r="F265" s="82"/>
      <c r="G265" s="82"/>
      <c r="H265" s="82"/>
      <c r="I265" s="133"/>
      <c r="J265" s="82"/>
      <c r="K265" s="133"/>
    </row>
    <row r="266" spans="1:11" ht="12.75">
      <c r="A266" s="82"/>
      <c r="B266" s="82"/>
      <c r="C266" s="82"/>
      <c r="D266" s="82"/>
      <c r="E266" s="82"/>
      <c r="F266" s="82"/>
      <c r="G266" s="82"/>
      <c r="H266" s="82"/>
      <c r="I266" s="133"/>
      <c r="J266" s="82"/>
      <c r="K266" s="133"/>
    </row>
    <row r="267" spans="1:11" ht="12.75">
      <c r="A267" s="82"/>
      <c r="B267" s="82"/>
      <c r="C267" s="82"/>
      <c r="D267" s="82"/>
      <c r="E267" s="82"/>
      <c r="F267" s="82"/>
      <c r="G267" s="82"/>
      <c r="H267" s="82"/>
      <c r="I267" s="133"/>
      <c r="J267" s="82"/>
      <c r="K267" s="133"/>
    </row>
    <row r="268" spans="1:11" ht="12.75">
      <c r="A268" s="82"/>
      <c r="B268" s="82"/>
      <c r="C268" s="82"/>
      <c r="D268" s="82"/>
      <c r="E268" s="82"/>
      <c r="F268" s="82"/>
      <c r="G268" s="82"/>
      <c r="H268" s="82"/>
      <c r="I268" s="133"/>
      <c r="J268" s="82"/>
      <c r="K268" s="133"/>
    </row>
    <row r="269" spans="1:11" ht="12.75">
      <c r="A269" s="82"/>
      <c r="B269" s="82"/>
      <c r="C269" s="82"/>
      <c r="D269" s="82"/>
      <c r="E269" s="82"/>
      <c r="F269" s="82"/>
      <c r="G269" s="82"/>
      <c r="H269" s="82"/>
      <c r="I269" s="133"/>
      <c r="J269" s="82"/>
      <c r="K269" s="133"/>
    </row>
    <row r="270" spans="1:11" ht="12.75">
      <c r="A270" s="82"/>
      <c r="B270" s="82"/>
      <c r="C270" s="82"/>
      <c r="D270" s="82"/>
      <c r="E270" s="82"/>
      <c r="F270" s="82"/>
      <c r="G270" s="82"/>
      <c r="H270" s="82"/>
      <c r="I270" s="133"/>
      <c r="J270" s="82"/>
      <c r="K270" s="133"/>
    </row>
    <row r="271" spans="1:11" ht="12.75">
      <c r="A271" s="82"/>
      <c r="B271" s="82"/>
      <c r="C271" s="82"/>
      <c r="D271" s="82"/>
      <c r="E271" s="82"/>
      <c r="F271" s="82"/>
      <c r="G271" s="82"/>
      <c r="H271" s="82"/>
      <c r="I271" s="133"/>
      <c r="J271" s="82"/>
      <c r="K271" s="133"/>
    </row>
    <row r="272" spans="1:11" ht="12.75">
      <c r="A272" s="82"/>
      <c r="B272" s="82"/>
      <c r="C272" s="82"/>
      <c r="D272" s="82"/>
      <c r="E272" s="82"/>
      <c r="F272" s="82"/>
      <c r="G272" s="82"/>
      <c r="H272" s="82"/>
      <c r="I272" s="133"/>
      <c r="J272" s="82"/>
      <c r="K272" s="133"/>
    </row>
    <row r="273" spans="1:11" ht="12.75">
      <c r="A273" s="82"/>
      <c r="B273" s="82"/>
      <c r="C273" s="82"/>
      <c r="D273" s="82"/>
      <c r="E273" s="82"/>
      <c r="F273" s="82"/>
      <c r="G273" s="82"/>
      <c r="H273" s="82"/>
      <c r="I273" s="133"/>
      <c r="J273" s="82"/>
      <c r="K273" s="133"/>
    </row>
    <row r="274" spans="1:11" ht="12.75">
      <c r="A274" s="82"/>
      <c r="B274" s="82"/>
      <c r="C274" s="82"/>
      <c r="D274" s="82"/>
      <c r="E274" s="82"/>
      <c r="F274" s="82"/>
      <c r="G274" s="82"/>
      <c r="H274" s="82"/>
      <c r="I274" s="133"/>
      <c r="J274" s="82"/>
      <c r="K274" s="133"/>
    </row>
    <row r="275" spans="1:11" ht="12.75">
      <c r="A275" s="82"/>
      <c r="B275" s="82"/>
      <c r="C275" s="82"/>
      <c r="D275" s="82"/>
      <c r="E275" s="82"/>
      <c r="F275" s="82"/>
      <c r="G275" s="82"/>
      <c r="H275" s="82"/>
      <c r="I275" s="133"/>
      <c r="J275" s="82"/>
      <c r="K275" s="133"/>
    </row>
    <row r="276" spans="1:11" ht="12.75">
      <c r="A276" s="82"/>
      <c r="B276" s="82"/>
      <c r="C276" s="82"/>
      <c r="D276" s="82"/>
      <c r="E276" s="82"/>
      <c r="F276" s="82"/>
      <c r="G276" s="82"/>
      <c r="H276" s="82"/>
      <c r="I276" s="133"/>
      <c r="J276" s="82"/>
      <c r="K276" s="133"/>
    </row>
    <row r="277" spans="1:11" ht="12.75">
      <c r="A277" s="82"/>
      <c r="B277" s="82"/>
      <c r="C277" s="82"/>
      <c r="D277" s="82"/>
      <c r="E277" s="82"/>
      <c r="F277" s="82"/>
      <c r="G277" s="82"/>
      <c r="H277" s="82"/>
      <c r="I277" s="133"/>
      <c r="J277" s="82"/>
      <c r="K277" s="133"/>
    </row>
    <row r="278" spans="1:11" ht="12.75">
      <c r="A278" s="82"/>
      <c r="B278" s="82"/>
      <c r="C278" s="82"/>
      <c r="D278" s="82"/>
      <c r="E278" s="82"/>
      <c r="F278" s="82"/>
      <c r="G278" s="82"/>
      <c r="H278" s="82"/>
      <c r="I278" s="133"/>
      <c r="J278" s="82"/>
      <c r="K278" s="133"/>
    </row>
    <row r="279" spans="1:11" ht="12.75">
      <c r="A279" s="82"/>
      <c r="B279" s="82"/>
      <c r="C279" s="82"/>
      <c r="D279" s="82"/>
      <c r="E279" s="82"/>
      <c r="F279" s="82"/>
      <c r="G279" s="82"/>
      <c r="H279" s="82"/>
      <c r="I279" s="133"/>
      <c r="J279" s="82"/>
      <c r="K279" s="133"/>
    </row>
    <row r="280" spans="1:11" ht="12.75">
      <c r="A280" s="82"/>
      <c r="B280" s="82"/>
      <c r="C280" s="82"/>
      <c r="D280" s="82"/>
      <c r="E280" s="82"/>
      <c r="F280" s="82"/>
      <c r="G280" s="82"/>
      <c r="H280" s="82"/>
      <c r="I280" s="133"/>
      <c r="J280" s="82"/>
      <c r="K280" s="133"/>
    </row>
    <row r="281" spans="1:11" ht="12.75">
      <c r="A281" s="82"/>
      <c r="B281" s="82"/>
      <c r="C281" s="82"/>
      <c r="D281" s="82"/>
      <c r="E281" s="82"/>
      <c r="F281" s="82"/>
      <c r="G281" s="82"/>
      <c r="H281" s="82"/>
      <c r="I281" s="133"/>
      <c r="J281" s="82"/>
      <c r="K281" s="133"/>
    </row>
    <row r="282" spans="1:11" ht="12.75">
      <c r="A282" s="82"/>
      <c r="B282" s="82"/>
      <c r="C282" s="82"/>
      <c r="D282" s="82"/>
      <c r="E282" s="82"/>
      <c r="F282" s="82"/>
      <c r="G282" s="82"/>
      <c r="H282" s="82"/>
      <c r="I282" s="133"/>
      <c r="J282" s="82"/>
      <c r="K282" s="133"/>
    </row>
    <row r="283" spans="1:11" ht="12.75">
      <c r="A283" s="82"/>
      <c r="B283" s="82"/>
      <c r="C283" s="82"/>
      <c r="D283" s="82"/>
      <c r="E283" s="82"/>
      <c r="F283" s="82"/>
      <c r="G283" s="82"/>
      <c r="H283" s="82"/>
      <c r="I283" s="133"/>
      <c r="J283" s="82"/>
      <c r="K283" s="133"/>
    </row>
    <row r="284" spans="1:11" ht="12.75">
      <c r="A284" s="82"/>
      <c r="B284" s="82"/>
      <c r="C284" s="82"/>
      <c r="D284" s="82"/>
      <c r="E284" s="82"/>
      <c r="F284" s="82"/>
      <c r="G284" s="82"/>
      <c r="H284" s="82"/>
      <c r="I284" s="133"/>
      <c r="J284" s="82"/>
      <c r="K284" s="133"/>
    </row>
    <row r="285" spans="1:11" ht="12.75">
      <c r="A285" s="82"/>
      <c r="B285" s="82"/>
      <c r="C285" s="82"/>
      <c r="D285" s="82"/>
      <c r="E285" s="82"/>
      <c r="F285" s="82"/>
      <c r="G285" s="82"/>
      <c r="H285" s="82"/>
      <c r="I285" s="133"/>
      <c r="J285" s="82"/>
      <c r="K285" s="133"/>
    </row>
    <row r="286" spans="1:11" ht="12.75">
      <c r="A286" s="82"/>
      <c r="B286" s="82"/>
      <c r="C286" s="82"/>
      <c r="D286" s="82"/>
      <c r="E286" s="82"/>
      <c r="F286" s="82"/>
      <c r="G286" s="82"/>
      <c r="H286" s="82"/>
      <c r="I286" s="133"/>
      <c r="J286" s="82"/>
      <c r="K286" s="133"/>
    </row>
    <row r="287" spans="1:11" ht="12.75">
      <c r="A287" s="82"/>
      <c r="B287" s="82"/>
      <c r="C287" s="82"/>
      <c r="D287" s="82"/>
      <c r="E287" s="82"/>
      <c r="F287" s="82"/>
      <c r="G287" s="82"/>
      <c r="H287" s="82"/>
      <c r="I287" s="133"/>
      <c r="J287" s="82"/>
      <c r="K287" s="133"/>
    </row>
    <row r="288" spans="1:11" ht="12.75">
      <c r="A288" s="82"/>
      <c r="B288" s="82"/>
      <c r="C288" s="82"/>
      <c r="D288" s="82"/>
      <c r="E288" s="82"/>
      <c r="F288" s="82"/>
      <c r="G288" s="82"/>
      <c r="H288" s="82"/>
      <c r="I288" s="133"/>
      <c r="J288" s="82"/>
      <c r="K288" s="133"/>
    </row>
    <row r="289" spans="1:11" ht="12.75">
      <c r="A289" s="82"/>
      <c r="B289" s="82"/>
      <c r="C289" s="82"/>
      <c r="D289" s="82"/>
      <c r="E289" s="82"/>
      <c r="F289" s="82"/>
      <c r="G289" s="82"/>
      <c r="H289" s="82"/>
      <c r="I289" s="133"/>
      <c r="J289" s="82"/>
      <c r="K289" s="133"/>
    </row>
    <row r="290" spans="1:11" ht="12.75">
      <c r="A290" s="82"/>
      <c r="B290" s="82"/>
      <c r="C290" s="82"/>
      <c r="D290" s="82"/>
      <c r="E290" s="82"/>
      <c r="F290" s="82"/>
      <c r="G290" s="82"/>
      <c r="H290" s="82"/>
      <c r="I290" s="133"/>
      <c r="J290" s="82"/>
      <c r="K290" s="133"/>
    </row>
    <row r="291" spans="1:11" ht="12.75">
      <c r="A291" s="82"/>
      <c r="B291" s="82"/>
      <c r="C291" s="82"/>
      <c r="D291" s="82"/>
      <c r="E291" s="82"/>
      <c r="F291" s="82"/>
      <c r="G291" s="82"/>
      <c r="H291" s="82"/>
      <c r="I291" s="133"/>
      <c r="J291" s="82"/>
      <c r="K291" s="133"/>
    </row>
    <row r="292" spans="1:11" ht="12.75">
      <c r="A292" s="82"/>
      <c r="B292" s="82"/>
      <c r="C292" s="82"/>
      <c r="D292" s="82"/>
      <c r="E292" s="82"/>
      <c r="F292" s="82"/>
      <c r="G292" s="82"/>
      <c r="H292" s="82"/>
      <c r="I292" s="133"/>
      <c r="J292" s="82"/>
      <c r="K292" s="133"/>
    </row>
    <row r="293" spans="1:11" ht="12.75">
      <c r="A293" s="82"/>
      <c r="B293" s="82"/>
      <c r="C293" s="82"/>
      <c r="D293" s="82"/>
      <c r="E293" s="82"/>
      <c r="F293" s="82"/>
      <c r="G293" s="82"/>
      <c r="H293" s="82"/>
      <c r="I293" s="133"/>
      <c r="J293" s="82"/>
      <c r="K293" s="133"/>
    </row>
    <row r="294" spans="1:11" ht="12.75">
      <c r="A294" s="82"/>
      <c r="B294" s="82"/>
      <c r="C294" s="82"/>
      <c r="D294" s="82"/>
      <c r="E294" s="82"/>
      <c r="F294" s="82"/>
      <c r="G294" s="82"/>
      <c r="H294" s="82"/>
      <c r="I294" s="133"/>
      <c r="J294" s="82"/>
      <c r="K294" s="133"/>
    </row>
    <row r="295" spans="1:11" ht="12.75">
      <c r="A295" s="82"/>
      <c r="B295" s="82"/>
      <c r="C295" s="82"/>
      <c r="D295" s="82"/>
      <c r="E295" s="82"/>
      <c r="F295" s="82"/>
      <c r="G295" s="82"/>
      <c r="H295" s="82"/>
      <c r="I295" s="133"/>
      <c r="J295" s="82"/>
      <c r="K295" s="133"/>
    </row>
    <row r="296" spans="1:11" ht="12.75">
      <c r="A296" s="82"/>
      <c r="B296" s="82"/>
      <c r="C296" s="82"/>
      <c r="D296" s="82"/>
      <c r="E296" s="82"/>
      <c r="F296" s="82"/>
      <c r="G296" s="82"/>
      <c r="H296" s="82"/>
      <c r="I296" s="133"/>
      <c r="J296" s="82"/>
      <c r="K296" s="133"/>
    </row>
    <row r="297" spans="1:11" ht="12.75">
      <c r="A297" s="82"/>
      <c r="B297" s="82"/>
      <c r="C297" s="82"/>
      <c r="D297" s="82"/>
      <c r="E297" s="82"/>
      <c r="F297" s="82"/>
      <c r="G297" s="82"/>
      <c r="H297" s="82"/>
      <c r="I297" s="133"/>
      <c r="J297" s="82"/>
      <c r="K297" s="133"/>
    </row>
    <row r="298" spans="1:11" ht="12.75">
      <c r="A298" s="82"/>
      <c r="B298" s="82"/>
      <c r="C298" s="82"/>
      <c r="D298" s="82"/>
      <c r="E298" s="82"/>
      <c r="F298" s="82"/>
      <c r="G298" s="82"/>
      <c r="H298" s="82"/>
      <c r="I298" s="133"/>
      <c r="J298" s="82"/>
      <c r="K298" s="133"/>
    </row>
    <row r="299" spans="1:11" ht="12.75">
      <c r="A299" s="82"/>
      <c r="B299" s="82"/>
      <c r="C299" s="82"/>
      <c r="D299" s="82"/>
      <c r="E299" s="82"/>
      <c r="F299" s="82"/>
      <c r="G299" s="82"/>
      <c r="H299" s="82"/>
      <c r="I299" s="133"/>
      <c r="J299" s="82"/>
      <c r="K299" s="133"/>
    </row>
    <row r="300" spans="1:11" ht="12.75">
      <c r="A300" s="82"/>
      <c r="B300" s="82"/>
      <c r="C300" s="82"/>
      <c r="D300" s="82"/>
      <c r="E300" s="82"/>
      <c r="F300" s="82"/>
      <c r="G300" s="82"/>
      <c r="H300" s="82"/>
      <c r="I300" s="133"/>
      <c r="J300" s="82"/>
      <c r="K300" s="133"/>
    </row>
    <row r="301" spans="1:11" ht="12.75">
      <c r="A301" s="82"/>
      <c r="B301" s="82"/>
      <c r="C301" s="82"/>
      <c r="D301" s="82"/>
      <c r="E301" s="82"/>
      <c r="F301" s="82"/>
      <c r="G301" s="82"/>
      <c r="H301" s="82"/>
      <c r="I301" s="133"/>
      <c r="J301" s="82"/>
      <c r="K301" s="133"/>
    </row>
    <row r="302" spans="1:8" ht="12.75">
      <c r="A302" s="82"/>
      <c r="B302" s="82"/>
      <c r="C302" s="82"/>
      <c r="D302" s="82"/>
      <c r="E302" s="82"/>
      <c r="F302" s="82"/>
      <c r="G302" s="82"/>
      <c r="H302" s="82"/>
    </row>
    <row r="303" spans="1:8" ht="12.75">
      <c r="A303" s="82"/>
      <c r="B303" s="82"/>
      <c r="C303" s="82"/>
      <c r="D303" s="82"/>
      <c r="E303" s="82"/>
      <c r="F303" s="82"/>
      <c r="G303" s="82"/>
      <c r="H303" s="82"/>
    </row>
    <row r="304" spans="1:8" ht="12.75">
      <c r="A304" s="82"/>
      <c r="B304" s="82"/>
      <c r="C304" s="82"/>
      <c r="D304" s="82"/>
      <c r="E304" s="82"/>
      <c r="F304" s="82"/>
      <c r="G304" s="82"/>
      <c r="H304" s="82"/>
    </row>
    <row r="305" spans="1:8" ht="12.75">
      <c r="A305" s="82"/>
      <c r="B305" s="82"/>
      <c r="C305" s="82"/>
      <c r="D305" s="82"/>
      <c r="E305" s="82"/>
      <c r="F305" s="82"/>
      <c r="G305" s="82"/>
      <c r="H305" s="82"/>
    </row>
  </sheetData>
  <sheetProtection/>
  <hyperlinks>
    <hyperlink ref="A157" r:id="rId1" display="ag.info@omafra.gov.on.ca"/>
  </hyperlinks>
  <printOptions/>
  <pageMargins left="0.75" right="0.75" top="1" bottom="1" header="0.5" footer="0.5"/>
  <pageSetup blackAndWhite="1" horizontalDpi="600" verticalDpi="600" orientation="portrait" scale="91" r:id="rId3"/>
  <headerFooter alignWithMargins="0">
    <oddHeader xml:space="preserve">&amp;L                                                                        </oddHeader>
    <oddFooter>&amp;CPage -&amp;P-&amp;R</oddFooter>
  </headerFooter>
  <rowBreaks count="2" manualBreakCount="2">
    <brk id="48" max="7" man="1"/>
    <brk id="10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Molenhuis</dc:creator>
  <cp:keywords/>
  <dc:description/>
  <cp:lastModifiedBy>Bauman, Jamie (OMAFRA)</cp:lastModifiedBy>
  <cp:lastPrinted>2005-07-22T16:33:27Z</cp:lastPrinted>
  <dcterms:created xsi:type="dcterms:W3CDTF">2003-10-15T02:21:04Z</dcterms:created>
  <dcterms:modified xsi:type="dcterms:W3CDTF">2015-12-04T14:59:48Z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