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9120" windowHeight="3870" firstSheet="1" activeTab="5"/>
  </bookViews>
  <sheets>
    <sheet name="Menu" sheetId="1" r:id="rId1"/>
    <sheet name="Valeur du bien-fonds" sheetId="2" r:id="rId2"/>
    <sheet name="Ce que vous pouvez payer" sheetId="3" r:id="rId3"/>
    <sheet name="Calcul de la valeur" sheetId="4" r:id="rId4"/>
    <sheet name="Flux monétaire(KSU)" sheetId="5" r:id="rId5"/>
    <sheet name="Blank" sheetId="6" r:id="rId6"/>
  </sheets>
  <definedNames>
    <definedName name="_xlnm.Print_Area" localSheetId="5">'Blank'!$A$1:$E$36</definedName>
    <definedName name="_xlnm.Print_Area" localSheetId="2">'Ce que vous pouvez payer'!$A$1:$D$42</definedName>
  </definedNames>
  <calcPr fullCalcOnLoad="1"/>
</workbook>
</file>

<file path=xl/comments3.xml><?xml version="1.0" encoding="utf-8"?>
<comments xmlns="http://schemas.openxmlformats.org/spreadsheetml/2006/main">
  <authors>
    <author>A satisfied Microsoft Office user</author>
    <author>martin.malette</author>
  </authors>
  <commentList>
    <comment ref="A85" authorId="0">
      <text>
        <r>
          <rPr>
            <sz val="8"/>
            <rFont val="Tahoma"/>
            <family val="2"/>
          </rPr>
          <t xml:space="preserve">L'intérêt des hypothèques au Canada est habituellement composé deux fois par année. Pour plusieurs autres types de prêt, comme les prêts d'équipement ou les emprunts à vue, l'intérêt est composé mensuellement. 
Ce programme exige que les intérêts soient composés au moins une fois par année.
</t>
        </r>
      </text>
    </comment>
    <comment ref="A11" authorId="1">
      <text>
        <r>
          <rPr>
            <sz val="8"/>
            <rFont val="Tahoma"/>
            <family val="2"/>
          </rPr>
          <t>L'intérêt des hypothèques au Canada est habituellement composé deux fois par année. Pour plusieurs autres types de prêt, comme les prêts d'équipement ou les emprunts à vue, l'intérêt est composé mensuellement. 
Ce programme exige que l'intérêt soit composé au moins une fois par année.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<sst xmlns="http://schemas.openxmlformats.org/spreadsheetml/2006/main" count="295" uniqueCount="242">
  <si>
    <t>Revised:  Nov 88</t>
  </si>
  <si>
    <t/>
  </si>
  <si>
    <t>Acres</t>
  </si>
  <si>
    <t>Total</t>
  </si>
  <si>
    <t>2) Plus:</t>
  </si>
  <si>
    <t>(A)</t>
  </si>
  <si>
    <t>(C)</t>
  </si>
  <si>
    <t>(B)</t>
  </si>
  <si>
    <t>(D)</t>
  </si>
  <si>
    <t>(E)</t>
  </si>
  <si>
    <t>(F)</t>
  </si>
  <si>
    <t>(G)</t>
  </si>
  <si>
    <t>(H)</t>
  </si>
  <si>
    <t>(I)</t>
  </si>
  <si>
    <t>(J)</t>
  </si>
  <si>
    <t>Option 1</t>
  </si>
  <si>
    <t>Option 2</t>
  </si>
  <si>
    <t>Option 3</t>
  </si>
  <si>
    <t>Option 4</t>
  </si>
  <si>
    <t>Conçu par Rob Gamble</t>
  </si>
  <si>
    <t>Chef de programme, Genres d'entreprises et questions financières</t>
  </si>
  <si>
    <t>Ministère de l'agriculture et de l'alimentation, Guelph</t>
  </si>
  <si>
    <t>Courriel: rob.gamble@omaf.gov.on.ca</t>
  </si>
  <si>
    <t>Menu - Calcul du coût du bien-fonds</t>
  </si>
  <si>
    <t>Décembre 2000</t>
  </si>
  <si>
    <t>Prix de vente actuel</t>
  </si>
  <si>
    <t>Durée de l'investissement</t>
  </si>
  <si>
    <t>Augmentation annuelle du coût du terrain</t>
  </si>
  <si>
    <t>Taux d'imposition</t>
  </si>
  <si>
    <t>Taux marginal d'imposition</t>
  </si>
  <si>
    <t>% des gains en capital</t>
  </si>
  <si>
    <t>Taux d'impôt applicable aux gains de capital</t>
  </si>
  <si>
    <t xml:space="preserve">Valeur future du bien-fonds </t>
  </si>
  <si>
    <t>Valeur future moins le prix d'achat</t>
  </si>
  <si>
    <t>Valeur présente de ces gains futurs</t>
  </si>
  <si>
    <r>
      <t xml:space="preserve">Valeur future du bien actualisée à sa valeur actuelle </t>
    </r>
    <r>
      <rPr>
        <b/>
        <sz val="12"/>
        <rFont val="Arial"/>
        <family val="2"/>
      </rPr>
      <t xml:space="preserve"> (B)</t>
    </r>
  </si>
  <si>
    <r>
      <t xml:space="preserve">Impôt sur les gains en capital                                         </t>
    </r>
    <r>
      <rPr>
        <b/>
        <sz val="12"/>
        <rFont val="Arial"/>
        <family val="2"/>
      </rPr>
      <t xml:space="preserve"> (C)</t>
    </r>
  </si>
  <si>
    <r>
      <t xml:space="preserve">Valeur actuelle du flux de trésorerie net                          </t>
    </r>
    <r>
      <rPr>
        <b/>
        <sz val="12"/>
        <rFont val="Arial"/>
        <family val="2"/>
      </rPr>
      <t>(A)</t>
    </r>
  </si>
  <si>
    <t>Taux d'actualisation</t>
  </si>
  <si>
    <t>Valeur du bien-fonds</t>
  </si>
  <si>
    <t>Autres méthodes de calcul</t>
  </si>
  <si>
    <t>Valeur productive du bien-fonds (technique du revenu)</t>
  </si>
  <si>
    <t>Valeur économique (accomptes pour gains de capital)</t>
  </si>
  <si>
    <r>
      <t xml:space="preserve">Conçu par </t>
    </r>
    <r>
      <rPr>
        <b/>
        <sz val="11"/>
        <rFont val="Arial"/>
        <family val="2"/>
      </rPr>
      <t>Rob Gamble</t>
    </r>
  </si>
  <si>
    <t>Quantité de terre à acheter (acres)</t>
  </si>
  <si>
    <t>Prix à l'acre</t>
  </si>
  <si>
    <t>Prix total du bien-fonds</t>
  </si>
  <si>
    <t xml:space="preserve">Versement initial  </t>
  </si>
  <si>
    <t>Montant du prêt ($)</t>
  </si>
  <si>
    <t>Taux d'intérêt annuel (%)</t>
  </si>
  <si>
    <t>Nombre de versements par année</t>
  </si>
  <si>
    <t xml:space="preserve">Paiement du prêt par période </t>
  </si>
  <si>
    <t>Bâtiments et équipement</t>
  </si>
  <si>
    <t xml:space="preserve">Valeur de votre équipement actuel </t>
  </si>
  <si>
    <t xml:space="preserve">Valeur de vos bâtiments actuels </t>
  </si>
  <si>
    <t>Autre revenu régulier (y compris le revenu du conjoint)</t>
  </si>
  <si>
    <t xml:space="preserve">Encaisse totale         </t>
  </si>
  <si>
    <t xml:space="preserve">Fonds de renouvellement de l'équipement 10 %    </t>
  </si>
  <si>
    <t xml:space="preserve">Fonds de renouvellement des bâtiments 5 %    </t>
  </si>
  <si>
    <t xml:space="preserve">Impôt sur le revenu annuel à payer     </t>
  </si>
  <si>
    <t xml:space="preserve">Décaissement total                                     </t>
  </si>
  <si>
    <t>Calculs</t>
  </si>
  <si>
    <t>Remboursement annuel du capital et des intérêts d'une dette existante</t>
  </si>
  <si>
    <t xml:space="preserve">Montant disponible pour le service annuel de la dette (E - F)              </t>
  </si>
  <si>
    <t>Montant nécessaire pour le service de la dette</t>
  </si>
  <si>
    <t>Facteur d'amortissement</t>
  </si>
  <si>
    <t>Montant de dette qui peut être servie  (G divisé par H)</t>
  </si>
  <si>
    <t>Voici une grille pour organiser vos prêts actuels ainsi qu'une calculatrice de prêt</t>
  </si>
  <si>
    <t>Prêts actuels</t>
  </si>
  <si>
    <t>Passif à court terme</t>
  </si>
  <si>
    <t>Prêts d'exploitation</t>
  </si>
  <si>
    <t>Montant</t>
  </si>
  <si>
    <t>dû</t>
  </si>
  <si>
    <t>Taux</t>
  </si>
  <si>
    <t>d'intérêt</t>
  </si>
  <si>
    <t>Mois</t>
  </si>
  <si>
    <t xml:space="preserve">  restants</t>
  </si>
  <si>
    <t xml:space="preserve"> Intérêt</t>
  </si>
  <si>
    <t>à payer</t>
  </si>
  <si>
    <t>Crédit fournisseur</t>
  </si>
  <si>
    <t>Passif à long terme</t>
  </si>
  <si>
    <t xml:space="preserve">Hypothèques </t>
  </si>
  <si>
    <t>Prêt à terme</t>
  </si>
  <si>
    <t>Autre financement</t>
  </si>
  <si>
    <t xml:space="preserve">  Montant du prêt ($)</t>
  </si>
  <si>
    <t xml:space="preserve">  Taux d'intérêt annuel (%)</t>
  </si>
  <si>
    <t xml:space="preserve">  PAIEMENT</t>
  </si>
  <si>
    <t xml:space="preserve">  INTÉRÊT TOTAL</t>
  </si>
  <si>
    <t>Périodes de calcul des intérêts par année</t>
  </si>
  <si>
    <t>Paiments</t>
  </si>
  <si>
    <t xml:space="preserve">Paiements </t>
  </si>
  <si>
    <t>des intérêts</t>
  </si>
  <si>
    <t>Paiement</t>
  </si>
  <si>
    <t>total</t>
  </si>
  <si>
    <t>Solde moyen</t>
  </si>
  <si>
    <t xml:space="preserve">   COMPARAISON DES TAUX INITIAUX</t>
  </si>
  <si>
    <t xml:space="preserve">PRÊT A </t>
  </si>
  <si>
    <t>PRÊT B</t>
  </si>
  <si>
    <t>PRÊT C+A101</t>
  </si>
  <si>
    <t>FEUILLE DE CALCUL POUR DÉTERMINER LA VALEUR DU BIEN-FONDS</t>
  </si>
  <si>
    <t>Valeur marchande d'un bien comparable (par acre)</t>
  </si>
  <si>
    <t>Valeur des bâtiments et de la machinerie</t>
  </si>
  <si>
    <t>Bâtiments actuels</t>
  </si>
  <si>
    <t>Machinerie actuelle</t>
  </si>
  <si>
    <t>Autres bâtiments</t>
  </si>
  <si>
    <t>Autre machinerie</t>
  </si>
  <si>
    <t>ÉTAPE 1.  ESTIMATION DU REVENU BRUT</t>
  </si>
  <si>
    <t>Culture</t>
  </si>
  <si>
    <t>Maïs</t>
  </si>
  <si>
    <t>Soya</t>
  </si>
  <si>
    <t>Blé</t>
  </si>
  <si>
    <t>Autre culture</t>
  </si>
  <si>
    <t>Autre revenu</t>
  </si>
  <si>
    <t>Revenu total</t>
  </si>
  <si>
    <t xml:space="preserve"> Revenu par acre :</t>
  </si>
  <si>
    <t>ÉTAPE 2. ESTIMATION DU COÛT DE PRODUCTION</t>
  </si>
  <si>
    <t>A. Coûts d'exploitation</t>
  </si>
  <si>
    <t>2) Déduire :</t>
  </si>
  <si>
    <t>Portion des dépenses totales pour le bétail, y compris une portion des coûts de machinerie moins l'intérêt sur le prêt</t>
  </si>
  <si>
    <t>ÉTAPE 3.  RENDEMENT DE LA TERRE</t>
  </si>
  <si>
    <t>ÉTAPE 4.  ACTUALISATION (VALEUR DU BIEN-FONDS)</t>
  </si>
  <si>
    <t>1) Valeur productive du bien-fonds :</t>
  </si>
  <si>
    <t>2) Valeur économique du bien-fonds (incluant gain en capital possible) :</t>
  </si>
  <si>
    <t>3) Valeur marchande du bien-fonds (signalé dans la région) :</t>
  </si>
  <si>
    <t>4) Écarts :</t>
  </si>
  <si>
    <t>Valeur marchande moins valeur productive</t>
  </si>
  <si>
    <t>selon un nombre d'années infini</t>
  </si>
  <si>
    <t>Taux d'intérêt</t>
  </si>
  <si>
    <t>Montant financé - montant total en dollars</t>
  </si>
  <si>
    <t>Coût de production par acre</t>
  </si>
  <si>
    <t>Nombre d'acres à acheter</t>
  </si>
  <si>
    <t>Coût par acre</t>
  </si>
  <si>
    <t>PRIX DU</t>
  </si>
  <si>
    <t>BIEN-FONDS</t>
  </si>
  <si>
    <t>*** FORMULE POUR CALCULER LE RENDEMENT NET/ACRE=</t>
  </si>
  <si>
    <t>- PAIEMENT ANNUEL DU PRÊT</t>
  </si>
  <si>
    <t xml:space="preserve">MONTANT  </t>
  </si>
  <si>
    <t>EMPRUNTÉ</t>
  </si>
  <si>
    <t>PAR ACRE</t>
  </si>
  <si>
    <t>*** FORMULE POUR CALCULER LE FLUX MONÉTAIRE=</t>
  </si>
  <si>
    <t>Flux monétaire net par année</t>
  </si>
  <si>
    <t>DÉTAILS DE L'INVESTISSEMENT</t>
  </si>
  <si>
    <t>DÉTAILS DE L'ACHAT</t>
  </si>
  <si>
    <t>COMBIEN POUVEZ-VOUS VOUS PERMETTRE                                        DE PAYER POUR UN BIEN-FONDS?</t>
  </si>
  <si>
    <t>Exemple</t>
  </si>
  <si>
    <t>Votre ferme</t>
  </si>
  <si>
    <t>Coût total du bien-fonds</t>
  </si>
  <si>
    <t>Versement initial</t>
  </si>
  <si>
    <t>Valeur de votre équipement actuel</t>
  </si>
  <si>
    <t>ENCAISSEMENT</t>
  </si>
  <si>
    <t xml:space="preserve">Encaisse totale        </t>
  </si>
  <si>
    <t>Tous les coûts liés à l'exploitation, y compris le bétail et les dépenses en espèces prévues pour le bien-fonds à acheter</t>
  </si>
  <si>
    <t xml:space="preserve">Fonds de renouvellement de l'équipement 10 %        </t>
  </si>
  <si>
    <t xml:space="preserve">Impôt sur le revenu annuel à payer   </t>
  </si>
  <si>
    <t>CALCULS</t>
  </si>
  <si>
    <t xml:space="preserve">Prévision du montant liquide disponible (B - C)  </t>
  </si>
  <si>
    <r>
      <t>Moins :</t>
    </r>
    <r>
      <rPr>
        <sz val="10"/>
        <rFont val="Arial"/>
        <family val="2"/>
      </rPr>
      <t xml:space="preserve"> Marge de sécurité (D) *(E)            </t>
    </r>
  </si>
  <si>
    <t>Montant en dollars disponible pour l'achat du bien (A) + (I)</t>
  </si>
  <si>
    <t>Rendement</t>
  </si>
  <si>
    <t>Prix</t>
  </si>
  <si>
    <t>Revenu annuel pour l'achat de terre d'après un financement à 100 %</t>
  </si>
  <si>
    <t>Revenu annuel pour l'achat de terre d'après le flux monétaire net</t>
  </si>
  <si>
    <t>Période d'amortissement du prêt (années)</t>
  </si>
  <si>
    <t>Revenu annuel prévu du bien-fonds acheté d'après le financement</t>
  </si>
  <si>
    <t>FLUX MONÉTAIRE d'après le montant financé sans amortissement</t>
  </si>
  <si>
    <t>(MONTANT EMPRUNTÉ/ACRE-PRODUIT DE LA RÉCOLTE $) * % ACRES CULTIVÉS</t>
  </si>
  <si>
    <t>=- PAIEMENT ANNUEL DU PRÊT</t>
  </si>
  <si>
    <t xml:space="preserve">Cet outil de calcul du coût du bien-fonds consiste en une série de feuilles de calcul qui vous permettent d'examiner ce qu'il en coûte de posséder un bien-fonds et ce que vous pouvez vous permettre de payer en échange. </t>
  </si>
  <si>
    <t xml:space="preserve">Total partiel </t>
  </si>
  <si>
    <r>
      <t>Valeur actuelle du bien-fonds  (</t>
    </r>
    <r>
      <rPr>
        <b/>
        <sz val="12"/>
        <rFont val="Arial"/>
        <family val="2"/>
      </rPr>
      <t>A plus B moins C)</t>
    </r>
  </si>
  <si>
    <t xml:space="preserve">  ÉCONOMIE SUR PAIEMENT (PERTE) PAR RAPPORT À "A"</t>
  </si>
  <si>
    <t xml:space="preserve">  Période d'amortissement du prêt (années)</t>
  </si>
  <si>
    <t>du capital</t>
  </si>
  <si>
    <t>Dimension du bien-fonds à acheter (acres)</t>
  </si>
  <si>
    <t xml:space="preserve">   Nombre de versements par année</t>
  </si>
  <si>
    <t>Totals des paiements</t>
  </si>
  <si>
    <r>
      <t xml:space="preserve">Prévision du revenu monétaire provenant de la ferme </t>
    </r>
    <r>
      <rPr>
        <i/>
        <sz val="9"/>
        <rFont val="Arial"/>
        <family val="2"/>
      </rPr>
      <t xml:space="preserve">(y compris le montant provenant du bien-fonds à acheter)  </t>
    </r>
  </si>
  <si>
    <t>Frais de subsistance de la famille</t>
  </si>
  <si>
    <t>Équipement et bâtiments supplémentaires, au besoin, en raison de l'achat du bien-fonds</t>
  </si>
  <si>
    <t>Prévision du gain en capital annuel</t>
  </si>
  <si>
    <t>= Coûts totaux d'exploitation - bien-fonds actuel =</t>
  </si>
  <si>
    <t>4) Ajustement des coûts d'exploitation par acre selon les changements quant aux pratiques de culture du nouveau bien-fonds, par ex., plus de désherbage (+) ou (-)</t>
  </si>
  <si>
    <t>Total partiel</t>
  </si>
  <si>
    <t>Rendement de la terre par acre pour l'achat de bien-fonds proposé</t>
  </si>
  <si>
    <t xml:space="preserve">= Rendement de la terre X 100/ taux d'actualisation = </t>
  </si>
  <si>
    <t>= Rendement de la terre x 100/ taux d'actualisation - gain en capital =</t>
  </si>
  <si>
    <t>Amortissement par acre cultivé</t>
  </si>
  <si>
    <t>(VALEUR BRUTE DE LA RÉCOLTE-(PROD. RÉCOLTE$+AMORT.$)*%ACRES CULTIVÉS</t>
  </si>
  <si>
    <r>
      <t>Prévision du revenu monétaire provenant de la ferme (</t>
    </r>
    <r>
      <rPr>
        <i/>
        <sz val="10"/>
        <rFont val="Arial"/>
        <family val="2"/>
      </rPr>
      <t xml:space="preserve">y compris le montant provenant du bien-fonds à acheter) </t>
    </r>
    <r>
      <rPr>
        <i/>
        <sz val="9"/>
        <rFont val="Arial"/>
        <family val="2"/>
      </rPr>
      <t xml:space="preserve"> </t>
    </r>
  </si>
  <si>
    <t xml:space="preserve">Frais de subsistance de la famille        </t>
  </si>
  <si>
    <t>Ajustement au comptant disponible en fonction du risque</t>
  </si>
  <si>
    <t xml:space="preserve">Prévision du comptant disponible (B - C)    </t>
  </si>
  <si>
    <t>Dette maximale que vous pouvez assumer</t>
  </si>
  <si>
    <t>Intérêts sur prêts pour immobilisations</t>
  </si>
  <si>
    <t>B. Coûts fixes, main-d'œuvre et gestion</t>
  </si>
  <si>
    <t>Total des coûts fixes sur la ferme actuelle</t>
  </si>
  <si>
    <t>Total des coûts fixes</t>
  </si>
  <si>
    <t>C. Total des coûts</t>
  </si>
  <si>
    <t>= Coûts d'exploitation prévus + coûts fixes prévus =</t>
  </si>
  <si>
    <t>Durée du financement (années)</t>
  </si>
  <si>
    <t>Acres cultivés   ( % )</t>
  </si>
  <si>
    <t>RENDEMENT NET/ACRE d'après un financement total</t>
  </si>
  <si>
    <t>DÉCAISSEMENT</t>
  </si>
  <si>
    <t>Taux d'escompte</t>
  </si>
  <si>
    <t>MAAARO</t>
  </si>
  <si>
    <t>1 888 466-2372, poste 64350  ou 1 519 826-4350</t>
  </si>
  <si>
    <t>Courriel: rgamble@omafra.gov.on.ca</t>
  </si>
  <si>
    <t>COMBIEN POUVEZ-VOUS VOUS PERMETTRE 
DE PAYER POUR UN BIEN-FONDS?</t>
  </si>
  <si>
    <t>Solde (si négatif, les besoins entraînés par la dette sont trop élevés)</t>
  </si>
  <si>
    <t>(Plus d'une année)</t>
  </si>
  <si>
    <t>(Moins d'une année)</t>
  </si>
  <si>
    <t xml:space="preserve">  Périodes de fois où l'intérêt est composé par année</t>
  </si>
  <si>
    <t xml:space="preserve">  ÉCONOMIE TOTALE SUR INTÉRÊT (PERTE) PAR RAPPORT À "A"</t>
  </si>
  <si>
    <t>Salaires annuels de la main-d'œuvre et des gestionnaires</t>
  </si>
  <si>
    <t>1) Total des dépenses d'exploitation annuelles du bien-fonds actuel</t>
  </si>
  <si>
    <t>Dépenses supplémentaires qui doivent venir à terme</t>
  </si>
  <si>
    <t>adapté de KSU Extension Publication</t>
  </si>
  <si>
    <t>Prévision de la valeur brute de la récolte par acre incluant paiments du gouv.</t>
  </si>
  <si>
    <t xml:space="preserve">DOIS-JE ACHETER PLUS DE TERRES? </t>
  </si>
  <si>
    <t>(excluant l'amortissement, non ajusté en fonction du coût de renonciation)</t>
  </si>
  <si>
    <t>VALEUR BRUTE DE LA RÉCOLTE</t>
  </si>
  <si>
    <t>Acres cultivés existants</t>
  </si>
  <si>
    <t>Acres cultivés qui seront achetés</t>
  </si>
  <si>
    <t>Prévision du rendement et du prix des cultures (rotation normale) qui seront produites sur le nouveau bien-fonds</t>
  </si>
  <si>
    <t xml:space="preserve">Total des acres cultivés qui seront achetés = </t>
  </si>
  <si>
    <t>3) Coûts d'exploitation par acre cultivé :</t>
  </si>
  <si>
    <t>5) Coûts d'exploitation prévus par acre cultivé sur le nouveau bien-fonds</t>
  </si>
  <si>
    <t>1) Total des charges fixes annuelles sur la ferme existante :</t>
  </si>
  <si>
    <t>Amortissement de la portion des bâtiments affectés à la prod. des cultures</t>
  </si>
  <si>
    <t>Amortissement de la portion de la machinerie affectée à la prod. des cultures</t>
  </si>
  <si>
    <t>Intérêt sur les investisements dans les bâtiments et la machinerie affectés à la production des cultures</t>
  </si>
  <si>
    <t>Main-d'œuvre et gestion de l'exploitation des cultures</t>
  </si>
  <si>
    <t>Amortissement de la portion des bâtiments (5 %) et de la machinerie (10 %) supplémentaires affectés à la production des cultures</t>
  </si>
  <si>
    <t>Coût d'investement dans les bâtiments et la machinerie supplémentaires (10 %) affectés à la production des cultures</t>
  </si>
  <si>
    <t>Frais de gestion</t>
  </si>
  <si>
    <t>3) Coûts fixes prévus par acre cultivé :</t>
  </si>
  <si>
    <t>Coûts totaux prévus par acre cultivé sur nouveau bien-fonds :</t>
  </si>
  <si>
    <t>= Revenu par acre cultivé - total des coûts prévus par acre cultivé =</t>
  </si>
  <si>
    <t>=Total des coûts fixes/Acres cultivés existants + Acres cultivés à acheter =</t>
  </si>
  <si>
    <t>Valeur marchande moins valeur économique</t>
  </si>
  <si>
    <t>Rembours. annuel du capital et des intérêts d'une dette existante</t>
  </si>
  <si>
    <t>Montant de la dette qui peut être servie  (G divisé par H)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</si>
</sst>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;;;"/>
    <numFmt numFmtId="171" formatCode="0.00_)"/>
    <numFmt numFmtId="172" formatCode="0_)"/>
    <numFmt numFmtId="173" formatCode="&quot;$&quot;#,##0"/>
    <numFmt numFmtId="174" formatCode="0.0_)"/>
    <numFmt numFmtId="175" formatCode="_(&quot;$&quot;* #,##0_);_(&quot;$&quot;* \(#,##0\);_(&quot;$&quot;* &quot;-&quot;??_);_(@_)"/>
    <numFmt numFmtId="176" formatCode="_-&quot;$&quot;* #,##0_-;\-&quot;$&quot;* #,##0_-;_-&quot;$&quot;* &quot;-&quot;??_-;_-@_-"/>
    <numFmt numFmtId="177" formatCode="_(* #,##0_);_(* \(#,##0\);_(* &quot;-&quot;??_);_(@_)"/>
    <numFmt numFmtId="178" formatCode="_(* #,##0.0000_);_(* \(#,##0.0000\);_(* &quot;-&quot;??_);_(@_)"/>
    <numFmt numFmtId="179" formatCode="#,##0.0000"/>
    <numFmt numFmtId="180" formatCode="mmmm\ yyyy"/>
  </numFmts>
  <fonts count="82">
    <font>
      <sz val="12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12"/>
      <name val="Arial"/>
      <family val="2"/>
    </font>
    <font>
      <sz val="14"/>
      <color indexed="18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b/>
      <sz val="16"/>
      <color indexed="12"/>
      <name val="Arial"/>
      <family val="2"/>
    </font>
    <font>
      <b/>
      <u val="single"/>
      <sz val="9"/>
      <color indexed="10"/>
      <name val="Arial"/>
      <family val="2"/>
    </font>
    <font>
      <u val="single"/>
      <sz val="9"/>
      <name val="Arial"/>
      <family val="2"/>
    </font>
    <font>
      <b/>
      <sz val="10"/>
      <color indexed="12"/>
      <name val="MS Sans Serif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sz val="8"/>
      <color indexed="50"/>
      <name val="Helv"/>
      <family val="0"/>
    </font>
    <font>
      <b/>
      <sz val="10"/>
      <color indexed="50"/>
      <name val="MS Sans Serif"/>
      <family val="2"/>
    </font>
    <font>
      <sz val="8"/>
      <name val="Tahoma"/>
      <family val="2"/>
    </font>
    <font>
      <b/>
      <sz val="18"/>
      <color indexed="53"/>
      <name val="Times New Roman"/>
      <family val="1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name val="MS Sans Serif"/>
      <family val="2"/>
    </font>
    <font>
      <sz val="18"/>
      <color indexed="52"/>
      <name val="Garamond"/>
      <family val="1"/>
    </font>
    <font>
      <b/>
      <sz val="16"/>
      <color indexed="52"/>
      <name val="Garamond"/>
      <family val="1"/>
    </font>
    <font>
      <i/>
      <sz val="9"/>
      <name val="Arial"/>
      <family val="2"/>
    </font>
    <font>
      <sz val="10"/>
      <color indexed="18"/>
      <name val="Arial"/>
      <family val="2"/>
    </font>
    <font>
      <b/>
      <sz val="12"/>
      <color indexed="53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52"/>
      <name val="Garamond"/>
      <family val="1"/>
    </font>
    <font>
      <b/>
      <sz val="20"/>
      <color indexed="52"/>
      <name val="Times New Roman"/>
      <family val="1"/>
    </font>
    <font>
      <sz val="24"/>
      <name val="Times New Roman"/>
      <family val="1"/>
    </font>
    <font>
      <b/>
      <sz val="18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12"/>
      <name val="Times New Roman"/>
      <family val="1"/>
    </font>
    <font>
      <sz val="9.5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9" fontId="2" fillId="0" borderId="0" xfId="59" applyFont="1" applyAlignment="1">
      <alignment/>
    </xf>
    <xf numFmtId="165" fontId="2" fillId="34" borderId="0" xfId="0" applyNumberFormat="1" applyFont="1" applyFill="1" applyAlignment="1">
      <alignment/>
    </xf>
    <xf numFmtId="165" fontId="2" fillId="0" borderId="0" xfId="0" applyNumberFormat="1" applyFont="1" applyAlignment="1">
      <alignment/>
    </xf>
    <xf numFmtId="165" fontId="2" fillId="33" borderId="0" xfId="0" applyNumberFormat="1" applyFont="1" applyFill="1" applyAlignment="1">
      <alignment/>
    </xf>
    <xf numFmtId="165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35" borderId="0" xfId="0" applyFont="1" applyFill="1" applyAlignment="1">
      <alignment/>
    </xf>
    <xf numFmtId="0" fontId="2" fillId="35" borderId="0" xfId="0" applyFont="1" applyFill="1" applyAlignment="1">
      <alignment/>
    </xf>
    <xf numFmtId="0" fontId="8" fillId="0" borderId="0" xfId="0" applyFont="1" applyAlignment="1">
      <alignment/>
    </xf>
    <xf numFmtId="9" fontId="8" fillId="0" borderId="0" xfId="59" applyFont="1" applyAlignment="1">
      <alignment/>
    </xf>
    <xf numFmtId="0" fontId="10" fillId="0" borderId="0" xfId="56" applyFill="1">
      <alignment/>
      <protection/>
    </xf>
    <xf numFmtId="0" fontId="6" fillId="33" borderId="10" xfId="0" applyFont="1" applyFill="1" applyBorder="1" applyAlignment="1">
      <alignment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left"/>
      <protection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37" fontId="17" fillId="0" borderId="16" xfId="42" applyNumberFormat="1" applyFont="1" applyBorder="1" applyAlignment="1" applyProtection="1">
      <alignment/>
      <protection locked="0"/>
    </xf>
    <xf numFmtId="171" fontId="17" fillId="0" borderId="16" xfId="0" applyNumberFormat="1" applyFont="1" applyBorder="1" applyAlignment="1" applyProtection="1">
      <alignment/>
      <protection locked="0"/>
    </xf>
    <xf numFmtId="172" fontId="17" fillId="0" borderId="16" xfId="0" applyNumberFormat="1" applyFont="1" applyBorder="1" applyAlignment="1" applyProtection="1">
      <alignment/>
      <protection locked="0"/>
    </xf>
    <xf numFmtId="168" fontId="6" fillId="0" borderId="17" xfId="45" applyFont="1" applyBorder="1" applyAlignment="1" applyProtection="1">
      <alignment/>
      <protection/>
    </xf>
    <xf numFmtId="0" fontId="17" fillId="0" borderId="15" xfId="0" applyFont="1" applyBorder="1" applyAlignment="1" applyProtection="1">
      <alignment horizontal="left"/>
      <protection locked="0"/>
    </xf>
    <xf numFmtId="43" fontId="10" fillId="0" borderId="18" xfId="44" applyFont="1" applyFill="1" applyBorder="1" applyAlignment="1" applyProtection="1">
      <alignment horizontal="fill"/>
      <protection/>
    </xf>
    <xf numFmtId="37" fontId="6" fillId="0" borderId="16" xfId="42" applyNumberFormat="1" applyFont="1" applyBorder="1" applyAlignment="1" applyProtection="1">
      <alignment/>
      <protection/>
    </xf>
    <xf numFmtId="171" fontId="6" fillId="0" borderId="16" xfId="0" applyNumberFormat="1" applyFont="1" applyBorder="1" applyAlignment="1" applyProtection="1">
      <alignment/>
      <protection/>
    </xf>
    <xf numFmtId="172" fontId="6" fillId="0" borderId="16" xfId="0" applyNumberFormat="1" applyFont="1" applyBorder="1" applyAlignment="1" applyProtection="1">
      <alignment/>
      <protection/>
    </xf>
    <xf numFmtId="8" fontId="7" fillId="0" borderId="0" xfId="44" applyNumberFormat="1" applyFont="1" applyFill="1" applyBorder="1" applyAlignment="1" applyProtection="1">
      <alignment/>
      <protection/>
    </xf>
    <xf numFmtId="0" fontId="10" fillId="0" borderId="0" xfId="56" applyFill="1" applyBorder="1">
      <alignment/>
      <protection/>
    </xf>
    <xf numFmtId="8" fontId="7" fillId="0" borderId="18" xfId="44" applyNumberFormat="1" applyFont="1" applyFill="1" applyBorder="1" applyAlignment="1" applyProtection="1">
      <alignment/>
      <protection/>
    </xf>
    <xf numFmtId="43" fontId="10" fillId="0" borderId="0" xfId="44" applyFont="1" applyFill="1" applyBorder="1" applyAlignment="1" applyProtection="1">
      <alignment horizontal="fill"/>
      <protection/>
    </xf>
    <xf numFmtId="43" fontId="10" fillId="0" borderId="0" xfId="44" applyFont="1" applyFill="1" applyBorder="1" applyAlignment="1">
      <alignment/>
    </xf>
    <xf numFmtId="40" fontId="7" fillId="0" borderId="0" xfId="44" applyNumberFormat="1" applyFont="1" applyFill="1" applyBorder="1" applyAlignment="1" applyProtection="1">
      <alignment/>
      <protection/>
    </xf>
    <xf numFmtId="168" fontId="7" fillId="33" borderId="19" xfId="45" applyFont="1" applyFill="1" applyBorder="1" applyAlignment="1">
      <alignment/>
    </xf>
    <xf numFmtId="0" fontId="6" fillId="33" borderId="19" xfId="0" applyFont="1" applyFill="1" applyBorder="1" applyAlignment="1">
      <alignment/>
    </xf>
    <xf numFmtId="168" fontId="7" fillId="33" borderId="10" xfId="45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fill"/>
      <protection/>
    </xf>
    <xf numFmtId="0" fontId="6" fillId="0" borderId="12" xfId="0" applyFont="1" applyBorder="1" applyAlignment="1" applyProtection="1">
      <alignment horizontal="fill"/>
      <protection/>
    </xf>
    <xf numFmtId="0" fontId="17" fillId="0" borderId="0" xfId="0" applyFont="1" applyAlignment="1">
      <alignment/>
    </xf>
    <xf numFmtId="0" fontId="7" fillId="0" borderId="16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168" fontId="17" fillId="0" borderId="0" xfId="45" applyFont="1" applyAlignment="1">
      <alignment/>
    </xf>
    <xf numFmtId="0" fontId="20" fillId="0" borderId="0" xfId="0" applyFont="1" applyAlignment="1">
      <alignment/>
    </xf>
    <xf numFmtId="0" fontId="0" fillId="0" borderId="15" xfId="0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 applyProtection="1">
      <alignment horizontal="left"/>
      <protection/>
    </xf>
    <xf numFmtId="0" fontId="0" fillId="0" borderId="16" xfId="0" applyBorder="1" applyAlignment="1">
      <alignment/>
    </xf>
    <xf numFmtId="173" fontId="17" fillId="0" borderId="16" xfId="0" applyNumberFormat="1" applyFont="1" applyBorder="1" applyAlignment="1" applyProtection="1">
      <alignment/>
      <protection locked="0"/>
    </xf>
    <xf numFmtId="3" fontId="17" fillId="0" borderId="16" xfId="0" applyNumberFormat="1" applyFont="1" applyBorder="1" applyAlignment="1" applyProtection="1">
      <alignment/>
      <protection locked="0"/>
    </xf>
    <xf numFmtId="0" fontId="21" fillId="0" borderId="16" xfId="0" applyFont="1" applyBorder="1" applyAlignment="1">
      <alignment/>
    </xf>
    <xf numFmtId="0" fontId="22" fillId="0" borderId="15" xfId="0" applyFont="1" applyBorder="1" applyAlignment="1" applyProtection="1">
      <alignment horizontal="left"/>
      <protection locked="0"/>
    </xf>
    <xf numFmtId="173" fontId="6" fillId="0" borderId="16" xfId="0" applyNumberFormat="1" applyFont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/>
      <protection/>
    </xf>
    <xf numFmtId="0" fontId="7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6" fillId="34" borderId="0" xfId="0" applyFont="1" applyFill="1" applyAlignment="1">
      <alignment/>
    </xf>
    <xf numFmtId="173" fontId="17" fillId="0" borderId="13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fill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fill"/>
      <protection/>
    </xf>
    <xf numFmtId="174" fontId="23" fillId="0" borderId="0" xfId="0" applyNumberFormat="1" applyFont="1" applyFill="1" applyBorder="1" applyAlignment="1" applyProtection="1">
      <alignment horizontal="right"/>
      <protection/>
    </xf>
    <xf numFmtId="169" fontId="24" fillId="0" borderId="0" xfId="42" applyFont="1" applyFill="1" applyBorder="1" applyAlignment="1" applyProtection="1">
      <alignment/>
      <protection/>
    </xf>
    <xf numFmtId="0" fontId="6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8" fillId="0" borderId="19" xfId="0" applyNumberFormat="1" applyFont="1" applyBorder="1" applyAlignment="1">
      <alignment/>
    </xf>
    <xf numFmtId="0" fontId="3" fillId="0" borderId="11" xfId="0" applyNumberFormat="1" applyFont="1" applyBorder="1" applyAlignment="1">
      <alignment horizontal="right"/>
    </xf>
    <xf numFmtId="0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0" fontId="3" fillId="0" borderId="2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0" fontId="3" fillId="0" borderId="13" xfId="0" applyNumberFormat="1" applyFont="1" applyBorder="1" applyAlignment="1">
      <alignment horizontal="right"/>
    </xf>
    <xf numFmtId="164" fontId="3" fillId="33" borderId="10" xfId="0" applyNumberFormat="1" applyFont="1" applyFill="1" applyBorder="1" applyAlignment="1">
      <alignment/>
    </xf>
    <xf numFmtId="164" fontId="3" fillId="33" borderId="19" xfId="0" applyNumberFormat="1" applyFont="1" applyFill="1" applyBorder="1" applyAlignment="1">
      <alignment/>
    </xf>
    <xf numFmtId="167" fontId="2" fillId="0" borderId="19" xfId="0" applyNumberFormat="1" applyFont="1" applyBorder="1" applyAlignment="1">
      <alignment/>
    </xf>
    <xf numFmtId="166" fontId="8" fillId="0" borderId="19" xfId="0" applyNumberFormat="1" applyFont="1" applyBorder="1" applyAlignment="1">
      <alignment/>
    </xf>
    <xf numFmtId="166" fontId="6" fillId="0" borderId="0" xfId="0" applyNumberFormat="1" applyFont="1" applyAlignment="1">
      <alignment/>
    </xf>
    <xf numFmtId="0" fontId="8" fillId="0" borderId="19" xfId="59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27" fillId="0" borderId="0" xfId="0" applyFont="1" applyAlignment="1">
      <alignment/>
    </xf>
    <xf numFmtId="0" fontId="6" fillId="0" borderId="0" xfId="0" applyFont="1" applyAlignment="1">
      <alignment/>
    </xf>
    <xf numFmtId="9" fontId="17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right" wrapText="1"/>
    </xf>
    <xf numFmtId="168" fontId="6" fillId="0" borderId="0" xfId="45" applyFont="1" applyAlignment="1">
      <alignment/>
    </xf>
    <xf numFmtId="0" fontId="6" fillId="0" borderId="0" xfId="0" applyFont="1" applyAlignment="1" quotePrefix="1">
      <alignment/>
    </xf>
    <xf numFmtId="44" fontId="6" fillId="0" borderId="0" xfId="0" applyNumberFormat="1" applyFont="1" applyAlignment="1">
      <alignment/>
    </xf>
    <xf numFmtId="0" fontId="6" fillId="35" borderId="0" xfId="0" applyFont="1" applyFill="1" applyAlignment="1">
      <alignment/>
    </xf>
    <xf numFmtId="168" fontId="7" fillId="0" borderId="0" xfId="45" applyFont="1" applyAlignment="1">
      <alignment/>
    </xf>
    <xf numFmtId="175" fontId="17" fillId="0" borderId="0" xfId="45" applyNumberFormat="1" applyFont="1" applyAlignment="1">
      <alignment/>
    </xf>
    <xf numFmtId="0" fontId="6" fillId="0" borderId="0" xfId="0" applyFont="1" applyAlignment="1">
      <alignment horizontal="left" indent="1"/>
    </xf>
    <xf numFmtId="173" fontId="6" fillId="0" borderId="0" xfId="45" applyNumberFormat="1" applyFont="1" applyAlignment="1">
      <alignment horizontal="right"/>
    </xf>
    <xf numFmtId="3" fontId="17" fillId="0" borderId="0" xfId="45" applyNumberFormat="1" applyFont="1" applyAlignment="1">
      <alignment/>
    </xf>
    <xf numFmtId="3" fontId="17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175" fontId="17" fillId="0" borderId="0" xfId="45" applyNumberFormat="1" applyFont="1" applyAlignment="1">
      <alignment horizontal="right"/>
    </xf>
    <xf numFmtId="175" fontId="6" fillId="0" borderId="0" xfId="45" applyNumberFormat="1" applyFont="1" applyAlignment="1">
      <alignment/>
    </xf>
    <xf numFmtId="176" fontId="6" fillId="0" borderId="0" xfId="0" applyNumberFormat="1" applyFont="1" applyAlignment="1">
      <alignment/>
    </xf>
    <xf numFmtId="176" fontId="6" fillId="0" borderId="0" xfId="45" applyNumberFormat="1" applyFont="1" applyAlignment="1">
      <alignment/>
    </xf>
    <xf numFmtId="0" fontId="6" fillId="0" borderId="0" xfId="0" applyFont="1" applyAlignment="1" quotePrefix="1">
      <alignment wrapText="1"/>
    </xf>
    <xf numFmtId="177" fontId="17" fillId="0" borderId="0" xfId="42" applyNumberFormat="1" applyFont="1" applyAlignment="1">
      <alignment/>
    </xf>
    <xf numFmtId="177" fontId="7" fillId="34" borderId="0" xfId="42" applyNumberFormat="1" applyFont="1" applyFill="1" applyAlignment="1">
      <alignment/>
    </xf>
    <xf numFmtId="177" fontId="6" fillId="0" borderId="0" xfId="42" applyNumberFormat="1" applyFont="1" applyAlignment="1">
      <alignment/>
    </xf>
    <xf numFmtId="177" fontId="28" fillId="0" borderId="0" xfId="42" applyNumberFormat="1" applyFont="1" applyAlignment="1">
      <alignment/>
    </xf>
    <xf numFmtId="0" fontId="11" fillId="36" borderId="23" xfId="56" applyFont="1" applyFill="1" applyBorder="1" applyAlignment="1" applyProtection="1" quotePrefix="1">
      <alignment/>
      <protection/>
    </xf>
    <xf numFmtId="0" fontId="10" fillId="36" borderId="23" xfId="56" applyFont="1" applyFill="1" applyBorder="1">
      <alignment/>
      <protection/>
    </xf>
    <xf numFmtId="0" fontId="10" fillId="36" borderId="12" xfId="56" applyFill="1" applyBorder="1">
      <alignment/>
      <protection/>
    </xf>
    <xf numFmtId="0" fontId="10" fillId="0" borderId="15" xfId="56" applyFont="1" applyFill="1" applyBorder="1" applyAlignment="1" applyProtection="1" quotePrefix="1">
      <alignment/>
      <protection/>
    </xf>
    <xf numFmtId="1" fontId="13" fillId="0" borderId="0" xfId="56" applyNumberFormat="1" applyFont="1" applyFill="1" applyBorder="1" applyAlignment="1" applyProtection="1" quotePrefix="1">
      <alignment horizontal="center"/>
      <protection/>
    </xf>
    <xf numFmtId="1" fontId="14" fillId="0" borderId="0" xfId="56" applyNumberFormat="1" applyFont="1" applyFill="1" applyBorder="1" applyAlignment="1" applyProtection="1">
      <alignment horizontal="center"/>
      <protection/>
    </xf>
    <xf numFmtId="1" fontId="14" fillId="0" borderId="17" xfId="56" applyNumberFormat="1" applyFont="1" applyFill="1" applyBorder="1" applyAlignment="1" applyProtection="1">
      <alignment horizontal="center"/>
      <protection/>
    </xf>
    <xf numFmtId="0" fontId="10" fillId="0" borderId="15" xfId="56" applyFont="1" applyFill="1" applyBorder="1" applyAlignment="1" applyProtection="1" quotePrefix="1">
      <alignment horizontal="left"/>
      <protection/>
    </xf>
    <xf numFmtId="3" fontId="15" fillId="0" borderId="0" xfId="44" applyNumberFormat="1" applyFont="1" applyFill="1" applyBorder="1" applyAlignment="1" applyProtection="1">
      <alignment/>
      <protection locked="0"/>
    </xf>
    <xf numFmtId="3" fontId="15" fillId="0" borderId="17" xfId="44" applyNumberFormat="1" applyFont="1" applyFill="1" applyBorder="1" applyAlignment="1" applyProtection="1">
      <alignment/>
      <protection locked="0"/>
    </xf>
    <xf numFmtId="0" fontId="15" fillId="0" borderId="0" xfId="44" applyNumberFormat="1" applyFont="1" applyFill="1" applyBorder="1" applyAlignment="1" applyProtection="1">
      <alignment/>
      <protection locked="0"/>
    </xf>
    <xf numFmtId="0" fontId="15" fillId="0" borderId="17" xfId="44" applyNumberFormat="1" applyFont="1" applyFill="1" applyBorder="1" applyAlignment="1" applyProtection="1">
      <alignment/>
      <protection locked="0"/>
    </xf>
    <xf numFmtId="0" fontId="10" fillId="0" borderId="15" xfId="56" applyFont="1" applyFill="1" applyBorder="1">
      <alignment/>
      <protection/>
    </xf>
    <xf numFmtId="0" fontId="18" fillId="0" borderId="24" xfId="56" applyFont="1" applyFill="1" applyBorder="1" applyAlignment="1" applyProtection="1" quotePrefix="1">
      <alignment/>
      <protection/>
    </xf>
    <xf numFmtId="43" fontId="10" fillId="0" borderId="14" xfId="44" applyFont="1" applyFill="1" applyBorder="1" applyAlignment="1" applyProtection="1">
      <alignment horizontal="fill"/>
      <protection/>
    </xf>
    <xf numFmtId="0" fontId="19" fillId="0" borderId="15" xfId="56" applyFont="1" applyFill="1" applyBorder="1" applyAlignment="1" applyProtection="1">
      <alignment horizontal="left"/>
      <protection/>
    </xf>
    <xf numFmtId="8" fontId="7" fillId="0" borderId="17" xfId="44" applyNumberFormat="1" applyFont="1" applyFill="1" applyBorder="1" applyAlignment="1" applyProtection="1">
      <alignment/>
      <protection/>
    </xf>
    <xf numFmtId="0" fontId="19" fillId="0" borderId="24" xfId="56" applyFont="1" applyFill="1" applyBorder="1" applyAlignment="1" applyProtection="1">
      <alignment horizontal="left"/>
      <protection/>
    </xf>
    <xf numFmtId="8" fontId="7" fillId="0" borderId="14" xfId="44" applyNumberFormat="1" applyFont="1" applyFill="1" applyBorder="1" applyAlignment="1" applyProtection="1">
      <alignment/>
      <protection/>
    </xf>
    <xf numFmtId="0" fontId="19" fillId="0" borderId="15" xfId="56" applyFont="1" applyFill="1" applyBorder="1" applyAlignment="1" applyProtection="1">
      <alignment/>
      <protection/>
    </xf>
    <xf numFmtId="43" fontId="10" fillId="0" borderId="17" xfId="44" applyFont="1" applyFill="1" applyBorder="1" applyAlignment="1" applyProtection="1">
      <alignment horizontal="fill"/>
      <protection/>
    </xf>
    <xf numFmtId="40" fontId="7" fillId="0" borderId="17" xfId="44" applyNumberFormat="1" applyFont="1" applyFill="1" applyBorder="1" applyAlignment="1" applyProtection="1">
      <alignment/>
      <protection/>
    </xf>
    <xf numFmtId="43" fontId="10" fillId="0" borderId="18" xfId="44" applyFont="1" applyFill="1" applyBorder="1" applyAlignment="1">
      <alignment/>
    </xf>
    <xf numFmtId="40" fontId="7" fillId="0" borderId="18" xfId="44" applyNumberFormat="1" applyFont="1" applyFill="1" applyBorder="1" applyAlignment="1" applyProtection="1">
      <alignment/>
      <protection/>
    </xf>
    <xf numFmtId="40" fontId="7" fillId="0" borderId="14" xfId="44" applyNumberFormat="1" applyFont="1" applyFill="1" applyBorder="1" applyAlignment="1" applyProtection="1">
      <alignment/>
      <protection/>
    </xf>
    <xf numFmtId="3" fontId="15" fillId="36" borderId="11" xfId="56" applyNumberFormat="1" applyFont="1" applyFill="1" applyBorder="1" applyProtection="1">
      <alignment/>
      <protection locked="0"/>
    </xf>
    <xf numFmtId="4" fontId="15" fillId="36" borderId="16" xfId="56" applyNumberFormat="1" applyFont="1" applyFill="1" applyBorder="1" applyProtection="1">
      <alignment/>
      <protection locked="0"/>
    </xf>
    <xf numFmtId="0" fontId="15" fillId="36" borderId="16" xfId="44" applyNumberFormat="1" applyFont="1" applyFill="1" applyBorder="1" applyAlignment="1" applyProtection="1">
      <alignment/>
      <protection locked="0"/>
    </xf>
    <xf numFmtId="0" fontId="15" fillId="36" borderId="16" xfId="44" applyNumberFormat="1" applyFont="1" applyFill="1" applyBorder="1" applyAlignment="1" applyProtection="1">
      <alignment/>
      <protection locked="0"/>
    </xf>
    <xf numFmtId="43" fontId="10" fillId="36" borderId="13" xfId="44" applyFont="1" applyFill="1" applyBorder="1" applyAlignment="1" applyProtection="1">
      <alignment horizontal="fill"/>
      <protection/>
    </xf>
    <xf numFmtId="8" fontId="7" fillId="36" borderId="16" xfId="44" applyNumberFormat="1" applyFont="1" applyFill="1" applyBorder="1" applyAlignment="1" applyProtection="1">
      <alignment/>
      <protection/>
    </xf>
    <xf numFmtId="8" fontId="7" fillId="36" borderId="13" xfId="44" applyNumberFormat="1" applyFont="1" applyFill="1" applyBorder="1" applyAlignment="1" applyProtection="1">
      <alignment/>
      <protection/>
    </xf>
    <xf numFmtId="3" fontId="15" fillId="0" borderId="0" xfId="56" applyNumberFormat="1" applyFont="1" applyFill="1" applyBorder="1" applyProtection="1">
      <alignment/>
      <protection locked="0"/>
    </xf>
    <xf numFmtId="4" fontId="15" fillId="0" borderId="0" xfId="56" applyNumberFormat="1" applyFont="1" applyFill="1" applyBorder="1" applyProtection="1">
      <alignment/>
      <protection locked="0"/>
    </xf>
    <xf numFmtId="0" fontId="15" fillId="0" borderId="0" xfId="44" applyNumberFormat="1" applyFont="1" applyFill="1" applyBorder="1" applyAlignment="1" applyProtection="1">
      <alignment/>
      <protection locked="0"/>
    </xf>
    <xf numFmtId="0" fontId="15" fillId="0" borderId="0" xfId="44" applyNumberFormat="1" applyFont="1" applyFill="1" applyBorder="1" applyAlignment="1" applyProtection="1">
      <alignment/>
      <protection locked="0"/>
    </xf>
    <xf numFmtId="6" fontId="7" fillId="0" borderId="0" xfId="44" applyNumberFormat="1" applyFont="1" applyFill="1" applyBorder="1" applyAlignment="1" applyProtection="1">
      <alignment/>
      <protection/>
    </xf>
    <xf numFmtId="0" fontId="6" fillId="0" borderId="0" xfId="0" applyFont="1" applyAlignment="1" quotePrefix="1">
      <alignment horizontal="left" indent="1"/>
    </xf>
    <xf numFmtId="3" fontId="29" fillId="0" borderId="0" xfId="56" applyNumberFormat="1" applyFont="1" applyFill="1" applyBorder="1" applyProtection="1">
      <alignment/>
      <protection locked="0"/>
    </xf>
    <xf numFmtId="177" fontId="17" fillId="0" borderId="0" xfId="42" applyNumberFormat="1" applyFont="1" applyFill="1" applyAlignment="1">
      <alignment/>
    </xf>
    <xf numFmtId="0" fontId="6" fillId="0" borderId="0" xfId="0" applyFont="1" applyFill="1" applyAlignment="1">
      <alignment horizontal="left" wrapText="1" indent="1"/>
    </xf>
    <xf numFmtId="0" fontId="6" fillId="0" borderId="0" xfId="0" applyFont="1" applyAlignment="1">
      <alignment horizontal="left" wrapText="1" indent="1"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178" fontId="6" fillId="0" borderId="0" xfId="42" applyNumberFormat="1" applyFont="1" applyAlignment="1">
      <alignment/>
    </xf>
    <xf numFmtId="179" fontId="0" fillId="0" borderId="0" xfId="0" applyNumberFormat="1" applyAlignment="1">
      <alignment/>
    </xf>
    <xf numFmtId="177" fontId="6" fillId="0" borderId="10" xfId="42" applyNumberFormat="1" applyFont="1" applyBorder="1" applyAlignment="1">
      <alignment/>
    </xf>
    <xf numFmtId="38" fontId="7" fillId="35" borderId="0" xfId="42" applyNumberFormat="1" applyFont="1" applyFill="1" applyAlignment="1">
      <alignment/>
    </xf>
    <xf numFmtId="0" fontId="7" fillId="0" borderId="0" xfId="0" applyFont="1" applyFill="1" applyAlignment="1">
      <alignment horizontal="left"/>
    </xf>
    <xf numFmtId="38" fontId="7" fillId="0" borderId="0" xfId="42" applyNumberFormat="1" applyFont="1" applyFill="1" applyAlignment="1">
      <alignment/>
    </xf>
    <xf numFmtId="177" fontId="7" fillId="0" borderId="0" xfId="42" applyNumberFormat="1" applyFont="1" applyFill="1" applyAlignment="1">
      <alignment/>
    </xf>
    <xf numFmtId="0" fontId="6" fillId="0" borderId="0" xfId="0" applyFont="1" applyFill="1" applyAlignment="1">
      <alignment/>
    </xf>
    <xf numFmtId="9" fontId="17" fillId="0" borderId="0" xfId="59" applyFont="1" applyFill="1" applyAlignment="1">
      <alignment/>
    </xf>
    <xf numFmtId="0" fontId="6" fillId="0" borderId="21" xfId="0" applyFont="1" applyBorder="1" applyAlignment="1">
      <alignment horizontal="left" indent="1"/>
    </xf>
    <xf numFmtId="0" fontId="7" fillId="0" borderId="0" xfId="0" applyFont="1" applyAlignment="1">
      <alignment horizontal="left" indent="1"/>
    </xf>
    <xf numFmtId="0" fontId="6" fillId="0" borderId="0" xfId="0" applyFont="1" applyFill="1" applyAlignment="1" quotePrefix="1">
      <alignment horizontal="left" indent="1"/>
    </xf>
    <xf numFmtId="0" fontId="31" fillId="0" borderId="0" xfId="0" applyFont="1" applyAlignment="1">
      <alignment horizontal="left"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/>
    </xf>
    <xf numFmtId="0" fontId="7" fillId="35" borderId="0" xfId="0" applyFont="1" applyFill="1" applyAlignment="1">
      <alignment horizontal="right"/>
    </xf>
    <xf numFmtId="168" fontId="7" fillId="35" borderId="0" xfId="45" applyFont="1" applyFill="1" applyAlignment="1">
      <alignment/>
    </xf>
    <xf numFmtId="168" fontId="7" fillId="35" borderId="0" xfId="45" applyFont="1" applyFill="1" applyAlignment="1">
      <alignment horizontal="right"/>
    </xf>
    <xf numFmtId="0" fontId="6" fillId="34" borderId="0" xfId="0" applyFont="1" applyFill="1" applyAlignment="1">
      <alignment/>
    </xf>
    <xf numFmtId="168" fontId="6" fillId="34" borderId="0" xfId="45" applyFont="1" applyFill="1" applyAlignment="1">
      <alignment/>
    </xf>
    <xf numFmtId="0" fontId="2" fillId="0" borderId="19" xfId="0" applyNumberFormat="1" applyFont="1" applyBorder="1" applyAlignment="1">
      <alignment horizontal="left" indent="1"/>
    </xf>
    <xf numFmtId="0" fontId="6" fillId="0" borderId="0" xfId="0" applyNumberFormat="1" applyFont="1" applyAlignment="1">
      <alignment horizontal="left" indent="1"/>
    </xf>
    <xf numFmtId="164" fontId="2" fillId="36" borderId="19" xfId="0" applyNumberFormat="1" applyFont="1" applyFill="1" applyBorder="1" applyAlignment="1">
      <alignment/>
    </xf>
    <xf numFmtId="164" fontId="2" fillId="36" borderId="11" xfId="0" applyNumberFormat="1" applyFont="1" applyFill="1" applyBorder="1" applyAlignment="1">
      <alignment/>
    </xf>
    <xf numFmtId="0" fontId="2" fillId="36" borderId="13" xfId="0" applyNumberFormat="1" applyFont="1" applyFill="1" applyBorder="1" applyAlignment="1">
      <alignment/>
    </xf>
    <xf numFmtId="0" fontId="34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23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7" xfId="0" applyNumberFormat="1" applyFont="1" applyBorder="1" applyAlignment="1">
      <alignment/>
    </xf>
    <xf numFmtId="0" fontId="3" fillId="0" borderId="11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6" fillId="0" borderId="0" xfId="56" applyFont="1" applyFill="1" applyBorder="1" applyAlignment="1" applyProtection="1">
      <alignment horizontal="left" indent="1"/>
      <protection/>
    </xf>
    <xf numFmtId="0" fontId="35" fillId="37" borderId="0" xfId="56" applyFont="1" applyFill="1" applyBorder="1" applyAlignment="1" applyProtection="1" quotePrefix="1">
      <alignment horizontal="left" indent="1"/>
      <protection/>
    </xf>
    <xf numFmtId="0" fontId="7" fillId="0" borderId="0" xfId="56" applyFont="1" applyFill="1" applyBorder="1" applyAlignment="1" applyProtection="1">
      <alignment horizontal="left" indent="1"/>
      <protection/>
    </xf>
    <xf numFmtId="0" fontId="0" fillId="0" borderId="25" xfId="0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7" fillId="0" borderId="0" xfId="0" applyFont="1" applyFill="1" applyBorder="1" applyAlignment="1" applyProtection="1" quotePrefix="1">
      <alignment horizontal="center"/>
      <protection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70" fontId="6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 quotePrefix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37" fontId="17" fillId="0" borderId="0" xfId="42" applyNumberFormat="1" applyFont="1" applyFill="1" applyBorder="1" applyAlignment="1" applyProtection="1">
      <alignment/>
      <protection locked="0"/>
    </xf>
    <xf numFmtId="171" fontId="17" fillId="0" borderId="0" xfId="0" applyNumberFormat="1" applyFont="1" applyFill="1" applyBorder="1" applyAlignment="1" applyProtection="1">
      <alignment/>
      <protection locked="0"/>
    </xf>
    <xf numFmtId="172" fontId="17" fillId="0" borderId="0" xfId="0" applyNumberFormat="1" applyFont="1" applyFill="1" applyBorder="1" applyAlignment="1" applyProtection="1">
      <alignment/>
      <protection locked="0"/>
    </xf>
    <xf numFmtId="168" fontId="6" fillId="0" borderId="0" xfId="45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/>
      <protection locked="0"/>
    </xf>
    <xf numFmtId="37" fontId="6" fillId="0" borderId="0" xfId="42" applyNumberFormat="1" applyFont="1" applyFill="1" applyBorder="1" applyAlignment="1" applyProtection="1">
      <alignment/>
      <protection/>
    </xf>
    <xf numFmtId="171" fontId="6" fillId="0" borderId="0" xfId="0" applyNumberFormat="1" applyFont="1" applyFill="1" applyBorder="1" applyAlignment="1" applyProtection="1">
      <alignment/>
      <protection/>
    </xf>
    <xf numFmtId="172" fontId="6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 quotePrefix="1">
      <alignment horizontal="right"/>
      <protection/>
    </xf>
    <xf numFmtId="168" fontId="7" fillId="0" borderId="0" xfId="45" applyFont="1" applyFill="1" applyBorder="1" applyAlignment="1">
      <alignment/>
    </xf>
    <xf numFmtId="168" fontId="7" fillId="0" borderId="0" xfId="45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fill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left"/>
      <protection/>
    </xf>
    <xf numFmtId="173" fontId="17" fillId="0" borderId="0" xfId="0" applyNumberFormat="1" applyFont="1" applyFill="1" applyBorder="1" applyAlignment="1" applyProtection="1">
      <alignment/>
      <protection locked="0"/>
    </xf>
    <xf numFmtId="3" fontId="17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 applyProtection="1">
      <alignment horizontal="left"/>
      <protection locked="0"/>
    </xf>
    <xf numFmtId="173" fontId="6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 quotePrefix="1">
      <alignment horizontal="left"/>
      <protection/>
    </xf>
    <xf numFmtId="0" fontId="9" fillId="0" borderId="0" xfId="56" applyFont="1" applyFill="1" applyBorder="1" applyAlignment="1" applyProtection="1" quotePrefix="1">
      <alignment horizontal="left"/>
      <protection/>
    </xf>
    <xf numFmtId="0" fontId="11" fillId="0" borderId="0" xfId="56" applyFont="1" applyFill="1" applyBorder="1" applyAlignment="1" applyProtection="1" quotePrefix="1">
      <alignment/>
      <protection/>
    </xf>
    <xf numFmtId="0" fontId="10" fillId="0" borderId="0" xfId="56" applyFont="1" applyFill="1" applyBorder="1">
      <alignment/>
      <protection/>
    </xf>
    <xf numFmtId="0" fontId="10" fillId="0" borderId="0" xfId="56" applyFont="1" applyFill="1" applyBorder="1" applyAlignment="1" applyProtection="1" quotePrefix="1">
      <alignment/>
      <protection/>
    </xf>
    <xf numFmtId="0" fontId="10" fillId="0" borderId="0" xfId="56" applyFont="1" applyFill="1" applyBorder="1" applyAlignment="1" applyProtection="1" quotePrefix="1">
      <alignment horizontal="left"/>
      <protection/>
    </xf>
    <xf numFmtId="0" fontId="18" fillId="0" borderId="0" xfId="56" applyFont="1" applyFill="1" applyBorder="1" applyAlignment="1" applyProtection="1" quotePrefix="1">
      <alignment/>
      <protection/>
    </xf>
    <xf numFmtId="0" fontId="19" fillId="0" borderId="0" xfId="56" applyFont="1" applyFill="1" applyBorder="1" applyAlignment="1" applyProtection="1">
      <alignment horizontal="left"/>
      <protection/>
    </xf>
    <xf numFmtId="0" fontId="19" fillId="0" borderId="0" xfId="56" applyFont="1" applyFill="1" applyBorder="1" applyAlignment="1" applyProtection="1">
      <alignment/>
      <protection/>
    </xf>
    <xf numFmtId="179" fontId="0" fillId="0" borderId="0" xfId="0" applyNumberFormat="1" applyFill="1" applyBorder="1" applyAlignment="1">
      <alignment/>
    </xf>
    <xf numFmtId="0" fontId="7" fillId="0" borderId="0" xfId="0" applyFont="1" applyFill="1" applyAlignment="1" quotePrefix="1">
      <alignment horizontal="left" indent="1"/>
    </xf>
    <xf numFmtId="0" fontId="36" fillId="0" borderId="0" xfId="0" applyFont="1" applyAlignment="1">
      <alignment horizontal="left"/>
    </xf>
    <xf numFmtId="1" fontId="17" fillId="0" borderId="0" xfId="42" applyNumberFormat="1" applyFont="1" applyAlignment="1">
      <alignment/>
    </xf>
    <xf numFmtId="0" fontId="0" fillId="0" borderId="25" xfId="0" applyFill="1" applyBorder="1" applyAlignment="1">
      <alignment/>
    </xf>
    <xf numFmtId="0" fontId="36" fillId="0" borderId="0" xfId="0" applyFont="1" applyAlignment="1">
      <alignment horizontal="left" indent="1"/>
    </xf>
    <xf numFmtId="0" fontId="4" fillId="34" borderId="0" xfId="0" applyFont="1" applyFill="1" applyAlignment="1">
      <alignment horizontal="left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vertical="top"/>
    </xf>
    <xf numFmtId="0" fontId="6" fillId="34" borderId="0" xfId="0" applyFont="1" applyFill="1" applyAlignment="1">
      <alignment horizontal="center"/>
    </xf>
    <xf numFmtId="0" fontId="30" fillId="34" borderId="0" xfId="0" applyFont="1" applyFill="1" applyAlignment="1">
      <alignment/>
    </xf>
    <xf numFmtId="0" fontId="37" fillId="34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6" fillId="33" borderId="24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170" fontId="6" fillId="33" borderId="18" xfId="0" applyNumberFormat="1" applyFont="1" applyFill="1" applyBorder="1" applyAlignment="1" applyProtection="1">
      <alignment horizontal="left"/>
      <protection/>
    </xf>
    <xf numFmtId="173" fontId="17" fillId="0" borderId="0" xfId="45" applyNumberFormat="1" applyFont="1" applyAlignment="1">
      <alignment horizontal="right"/>
    </xf>
    <xf numFmtId="0" fontId="6" fillId="0" borderId="0" xfId="0" applyFont="1" applyAlignment="1">
      <alignment horizontal="right"/>
    </xf>
    <xf numFmtId="176" fontId="7" fillId="0" borderId="0" xfId="0" applyNumberFormat="1" applyFont="1" applyAlignment="1">
      <alignment/>
    </xf>
    <xf numFmtId="9" fontId="17" fillId="0" borderId="0" xfId="59" applyFont="1" applyAlignment="1">
      <alignment/>
    </xf>
    <xf numFmtId="176" fontId="22" fillId="0" borderId="0" xfId="0" applyNumberFormat="1" applyFont="1" applyAlignment="1">
      <alignment/>
    </xf>
    <xf numFmtId="176" fontId="7" fillId="0" borderId="0" xfId="45" applyNumberFormat="1" applyFont="1" applyAlignment="1">
      <alignment/>
    </xf>
    <xf numFmtId="176" fontId="6" fillId="0" borderId="0" xfId="45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6" fillId="34" borderId="0" xfId="0" applyFont="1" applyFill="1" applyAlignment="1" quotePrefix="1">
      <alignment/>
    </xf>
    <xf numFmtId="44" fontId="7" fillId="34" borderId="0" xfId="0" applyNumberFormat="1" applyFont="1" applyFill="1" applyAlignment="1">
      <alignment/>
    </xf>
    <xf numFmtId="167" fontId="7" fillId="0" borderId="0" xfId="45" applyNumberFormat="1" applyFont="1" applyAlignment="1">
      <alignment/>
    </xf>
    <xf numFmtId="167" fontId="7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0" fillId="38" borderId="0" xfId="0" applyFill="1" applyAlignment="1">
      <alignment horizontal="center"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43" fillId="38" borderId="0" xfId="0" applyFont="1" applyFill="1" applyAlignment="1">
      <alignment/>
    </xf>
    <xf numFmtId="180" fontId="2" fillId="0" borderId="0" xfId="0" applyNumberFormat="1" applyFont="1" applyAlignment="1">
      <alignment horizontal="left"/>
    </xf>
    <xf numFmtId="0" fontId="20" fillId="38" borderId="0" xfId="0" applyFont="1" applyFill="1" applyAlignment="1">
      <alignment/>
    </xf>
    <xf numFmtId="0" fontId="40" fillId="39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56" applyFont="1" applyFill="1" applyBorder="1" applyAlignment="1">
      <alignment horizontal="left" indent="1"/>
      <protection/>
    </xf>
    <xf numFmtId="0" fontId="7" fillId="0" borderId="0" xfId="0" applyFont="1" applyFill="1" applyAlignment="1">
      <alignment horizontal="left" indent="1"/>
    </xf>
    <xf numFmtId="0" fontId="6" fillId="0" borderId="0" xfId="0" applyFont="1" applyAlignment="1">
      <alignment horizontal="left"/>
    </xf>
    <xf numFmtId="0" fontId="16" fillId="0" borderId="24" xfId="0" applyFont="1" applyBorder="1" applyAlignment="1" applyProtection="1">
      <alignment horizontal="left"/>
      <protection/>
    </xf>
    <xf numFmtId="0" fontId="4" fillId="0" borderId="20" xfId="0" applyFont="1" applyFill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7" fillId="33" borderId="21" xfId="0" applyFont="1" applyFill="1" applyBorder="1" applyAlignment="1" applyProtection="1">
      <alignment horizontal="right"/>
      <protection/>
    </xf>
    <xf numFmtId="0" fontId="16" fillId="0" borderId="15" xfId="0" applyFont="1" applyBorder="1" applyAlignment="1" applyProtection="1">
      <alignment horizontal="left"/>
      <protection/>
    </xf>
    <xf numFmtId="0" fontId="10" fillId="0" borderId="15" xfId="56" applyFont="1" applyFill="1" applyBorder="1" applyAlignment="1" applyProtection="1">
      <alignment horizontal="left"/>
      <protection/>
    </xf>
    <xf numFmtId="0" fontId="10" fillId="0" borderId="15" xfId="56" applyFont="1" applyFill="1" applyBorder="1" applyAlignment="1" applyProtection="1">
      <alignment/>
      <protection/>
    </xf>
    <xf numFmtId="0" fontId="9" fillId="36" borderId="20" xfId="56" applyFont="1" applyFill="1" applyBorder="1" applyAlignment="1" applyProtection="1">
      <alignment horizontal="left"/>
      <protection/>
    </xf>
    <xf numFmtId="1" fontId="13" fillId="0" borderId="0" xfId="56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Alignment="1" quotePrefix="1">
      <alignment/>
    </xf>
    <xf numFmtId="0" fontId="10" fillId="0" borderId="0" xfId="0" applyFont="1" applyAlignment="1">
      <alignment horizontal="left" wrapText="1" indent="1"/>
    </xf>
    <xf numFmtId="0" fontId="10" fillId="0" borderId="0" xfId="0" applyFont="1" applyAlignment="1">
      <alignment horizontal="left" indent="1"/>
    </xf>
    <xf numFmtId="0" fontId="41" fillId="0" borderId="0" xfId="0" applyFont="1" applyAlignment="1">
      <alignment horizontal="left" indent="1"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0" fontId="10" fillId="35" borderId="0" xfId="0" applyFont="1" applyFill="1" applyAlignment="1">
      <alignment/>
    </xf>
    <xf numFmtId="0" fontId="33" fillId="35" borderId="0" xfId="0" applyFont="1" applyFill="1" applyAlignment="1">
      <alignment horizontal="left" indent="1"/>
    </xf>
    <xf numFmtId="0" fontId="33" fillId="0" borderId="0" xfId="0" applyFont="1" applyFill="1" applyAlignment="1">
      <alignment horizontal="left" indent="1"/>
    </xf>
    <xf numFmtId="0" fontId="46" fillId="35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16" xfId="0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 quotePrefix="1">
      <alignment/>
    </xf>
    <xf numFmtId="0" fontId="10" fillId="34" borderId="0" xfId="0" applyFont="1" applyFill="1" applyAlignment="1">
      <alignment/>
    </xf>
    <xf numFmtId="0" fontId="10" fillId="35" borderId="0" xfId="0" applyFont="1" applyFill="1" applyAlignment="1">
      <alignment/>
    </xf>
    <xf numFmtId="0" fontId="26" fillId="0" borderId="0" xfId="0" applyNumberFormat="1" applyFont="1" applyFill="1" applyAlignment="1">
      <alignment horizontal="left" indent="1"/>
    </xf>
    <xf numFmtId="0" fontId="6" fillId="0" borderId="19" xfId="0" applyNumberFormat="1" applyFont="1" applyFill="1" applyBorder="1" applyAlignment="1">
      <alignment horizontal="left" indent="1"/>
    </xf>
    <xf numFmtId="0" fontId="6" fillId="0" borderId="11" xfId="0" applyNumberFormat="1" applyFont="1" applyFill="1" applyBorder="1" applyAlignment="1">
      <alignment horizontal="left" indent="1"/>
    </xf>
    <xf numFmtId="0" fontId="10" fillId="0" borderId="13" xfId="0" applyNumberFormat="1" applyFont="1" applyFill="1" applyBorder="1" applyAlignment="1">
      <alignment horizontal="left" indent="1"/>
    </xf>
    <xf numFmtId="0" fontId="3" fillId="0" borderId="0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0" fontId="6" fillId="0" borderId="0" xfId="0" applyFont="1" applyFill="1" applyAlignment="1">
      <alignment vertical="top" wrapText="1"/>
    </xf>
    <xf numFmtId="0" fontId="44" fillId="0" borderId="19" xfId="0" applyNumberFormat="1" applyFont="1" applyBorder="1" applyAlignment="1">
      <alignment horizontal="left" wrapText="1" indent="1"/>
    </xf>
    <xf numFmtId="0" fontId="6" fillId="0" borderId="0" xfId="0" applyFont="1" applyAlignment="1" applyProtection="1">
      <alignment vertical="top"/>
      <protection locked="0"/>
    </xf>
    <xf numFmtId="0" fontId="2" fillId="38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39" fillId="35" borderId="0" xfId="0" applyFont="1" applyFill="1" applyAlignment="1">
      <alignment/>
    </xf>
    <xf numFmtId="0" fontId="34" fillId="36" borderId="27" xfId="0" applyFont="1" applyFill="1" applyBorder="1" applyAlignment="1">
      <alignment horizontal="left"/>
    </xf>
    <xf numFmtId="0" fontId="34" fillId="36" borderId="28" xfId="0" applyFont="1" applyFill="1" applyBorder="1" applyAlignment="1">
      <alignment horizontal="left"/>
    </xf>
    <xf numFmtId="0" fontId="34" fillId="36" borderId="29" xfId="0" applyFont="1" applyFill="1" applyBorder="1" applyAlignment="1">
      <alignment horizontal="left"/>
    </xf>
    <xf numFmtId="0" fontId="37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38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Compare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ompa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704850</xdr:colOff>
      <xdr:row>4</xdr:row>
      <xdr:rowOff>76200</xdr:rowOff>
    </xdr:from>
    <xdr:to>
      <xdr:col>1</xdr:col>
      <xdr:colOff>2524125</xdr:colOff>
      <xdr:row>7</xdr:row>
      <xdr:rowOff>19050</xdr:rowOff>
    </xdr:to>
    <xdr:pic>
      <xdr:nvPicPr>
        <xdr:cNvPr id="1" name="Picture 9" descr="Ontario"/>
        <xdr:cNvPicPr preferRelativeResize="1">
          <a:picLocks noChangeAspect="1"/>
        </xdr:cNvPicPr>
      </xdr:nvPicPr>
      <xdr:blipFill>
        <a:blip r:embed="rId1"/>
        <a:srcRect t="12745" b="20588"/>
        <a:stretch>
          <a:fillRect/>
        </a:stretch>
      </xdr:blipFill>
      <xdr:spPr>
        <a:xfrm>
          <a:off x="4257675" y="942975"/>
          <a:ext cx="1819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</xdr:row>
      <xdr:rowOff>123825</xdr:rowOff>
    </xdr:from>
    <xdr:to>
      <xdr:col>1</xdr:col>
      <xdr:colOff>2962275</xdr:colOff>
      <xdr:row>12</xdr:row>
      <xdr:rowOff>38100</xdr:rowOff>
    </xdr:to>
    <xdr:pic>
      <xdr:nvPicPr>
        <xdr:cNvPr id="2" name="Picture 11" descr="MAARO_f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81400" y="1943100"/>
          <a:ext cx="2933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F17" sqref="F17"/>
    </sheetView>
  </sheetViews>
  <sheetFormatPr defaultColWidth="8.88671875" defaultRowHeight="15"/>
  <cols>
    <col min="1" max="1" width="41.4453125" style="0" customWidth="1"/>
    <col min="2" max="2" width="35.99609375" style="0" customWidth="1"/>
  </cols>
  <sheetData>
    <row r="1" spans="1:7" ht="23.25">
      <c r="A1" s="281" t="s">
        <v>23</v>
      </c>
      <c r="B1" s="277"/>
      <c r="C1" s="68"/>
      <c r="D1" s="68"/>
      <c r="E1" s="68"/>
      <c r="F1" s="68"/>
      <c r="G1" s="68"/>
    </row>
    <row r="3" ht="15">
      <c r="A3" s="275"/>
    </row>
    <row r="4" ht="15">
      <c r="A4" s="276"/>
    </row>
    <row r="5" ht="15">
      <c r="A5" s="276"/>
    </row>
    <row r="6" ht="15">
      <c r="A6" s="276"/>
    </row>
    <row r="7" ht="15">
      <c r="A7" s="276"/>
    </row>
    <row r="8" ht="15">
      <c r="A8" s="276"/>
    </row>
    <row r="9" ht="15">
      <c r="A9" s="276"/>
    </row>
    <row r="10" ht="15">
      <c r="A10" s="276"/>
    </row>
    <row r="11" ht="15">
      <c r="A11" s="276"/>
    </row>
    <row r="12" ht="15">
      <c r="A12" s="276"/>
    </row>
    <row r="13" ht="9.75" customHeight="1">
      <c r="A13" s="68"/>
    </row>
    <row r="14" spans="1:2" ht="71.25">
      <c r="A14" s="322" t="s">
        <v>167</v>
      </c>
      <c r="B14" s="323"/>
    </row>
    <row r="16" ht="15.75">
      <c r="A16" s="278" t="s">
        <v>19</v>
      </c>
    </row>
    <row r="17" ht="12.75" customHeight="1">
      <c r="A17" s="280" t="s">
        <v>20</v>
      </c>
    </row>
    <row r="18" ht="12" customHeight="1">
      <c r="A18" s="280" t="s">
        <v>21</v>
      </c>
    </row>
    <row r="19" spans="1:2" ht="10.5" customHeight="1">
      <c r="A19" s="280" t="s">
        <v>22</v>
      </c>
      <c r="B19" s="273"/>
    </row>
    <row r="20" ht="9.75" customHeight="1"/>
    <row r="21" ht="15">
      <c r="A21" s="279" t="s">
        <v>24</v>
      </c>
    </row>
    <row r="22" ht="15">
      <c r="A22" s="274"/>
    </row>
  </sheetData>
  <sheetProtection/>
  <printOptions/>
  <pageMargins left="0.75" right="0.43" top="1" bottom="1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="80" zoomScaleNormal="80" zoomScalePageLayoutView="0" workbookViewId="0" topLeftCell="A1">
      <selection activeCell="A1" sqref="A1:E1"/>
    </sheetView>
  </sheetViews>
  <sheetFormatPr defaultColWidth="8.88671875" defaultRowHeight="15"/>
  <cols>
    <col min="1" max="1" width="43.77734375" style="0" customWidth="1"/>
    <col min="2" max="2" width="9.21484375" style="0" customWidth="1"/>
    <col min="4" max="4" width="8.4453125" style="0" customWidth="1"/>
    <col min="5" max="5" width="9.10546875" style="0" customWidth="1"/>
  </cols>
  <sheetData>
    <row r="1" spans="1:5" ht="30.75">
      <c r="A1" s="324" t="s">
        <v>39</v>
      </c>
      <c r="B1" s="324"/>
      <c r="C1" s="324"/>
      <c r="D1" s="324"/>
      <c r="E1" s="324"/>
    </row>
    <row r="2" spans="2:5" ht="15.75">
      <c r="B2" s="272" t="s">
        <v>15</v>
      </c>
      <c r="C2" s="272" t="s">
        <v>16</v>
      </c>
      <c r="D2" s="272" t="s">
        <v>17</v>
      </c>
      <c r="E2" s="272" t="s">
        <v>18</v>
      </c>
    </row>
    <row r="3" spans="1:5" ht="15">
      <c r="A3" s="2" t="s">
        <v>140</v>
      </c>
      <c r="B3" s="16">
        <v>2418</v>
      </c>
      <c r="C3" s="16">
        <v>100</v>
      </c>
      <c r="D3" s="16">
        <v>40</v>
      </c>
      <c r="E3" s="16">
        <v>20</v>
      </c>
    </row>
    <row r="4" spans="1:5" ht="15">
      <c r="A4" s="2" t="s">
        <v>25</v>
      </c>
      <c r="B4" s="16">
        <v>15000</v>
      </c>
      <c r="C4" s="16">
        <v>1200</v>
      </c>
      <c r="D4" s="16">
        <v>1200</v>
      </c>
      <c r="E4" s="16">
        <v>1200</v>
      </c>
    </row>
    <row r="5" spans="1:5" ht="15">
      <c r="A5" s="2" t="s">
        <v>203</v>
      </c>
      <c r="B5" s="17">
        <v>0.08</v>
      </c>
      <c r="C5" s="17">
        <v>0.08</v>
      </c>
      <c r="D5" s="17">
        <v>0.05</v>
      </c>
      <c r="E5" s="17">
        <v>0.05</v>
      </c>
    </row>
    <row r="6" spans="1:5" ht="15">
      <c r="A6" s="2" t="s">
        <v>26</v>
      </c>
      <c r="B6" s="16">
        <v>12</v>
      </c>
      <c r="C6" s="16">
        <v>10</v>
      </c>
      <c r="D6" s="16">
        <v>10</v>
      </c>
      <c r="E6" s="16">
        <v>10</v>
      </c>
    </row>
    <row r="7" spans="1:5" ht="15">
      <c r="A7" s="2" t="s">
        <v>27</v>
      </c>
      <c r="B7" s="17">
        <v>0.03</v>
      </c>
      <c r="C7" s="17">
        <v>0.03</v>
      </c>
      <c r="D7" s="17">
        <v>0.03</v>
      </c>
      <c r="E7" s="17">
        <v>0.03</v>
      </c>
    </row>
    <row r="8" spans="1:6" ht="15.75">
      <c r="A8" s="4" t="s">
        <v>28</v>
      </c>
      <c r="B8" s="16"/>
      <c r="C8" s="16"/>
      <c r="D8" s="16"/>
      <c r="E8" s="16"/>
      <c r="F8" s="1"/>
    </row>
    <row r="9" spans="1:5" ht="15">
      <c r="A9" s="2" t="s">
        <v>29</v>
      </c>
      <c r="B9" s="17">
        <v>0.5</v>
      </c>
      <c r="C9" s="17">
        <v>0.5</v>
      </c>
      <c r="D9" s="17">
        <v>0.5</v>
      </c>
      <c r="E9" s="17">
        <v>0.5</v>
      </c>
    </row>
    <row r="10" spans="1:5" ht="15">
      <c r="A10" s="2" t="s">
        <v>30</v>
      </c>
      <c r="B10" s="17">
        <v>0.6666</v>
      </c>
      <c r="C10" s="17">
        <v>0.75</v>
      </c>
      <c r="D10" s="17">
        <v>0.75</v>
      </c>
      <c r="E10" s="17">
        <v>0.75</v>
      </c>
    </row>
    <row r="11" spans="1:5" ht="15">
      <c r="A11" s="2" t="s">
        <v>31</v>
      </c>
      <c r="B11" s="5">
        <f>B10*B9</f>
        <v>0.3333</v>
      </c>
      <c r="C11" s="5">
        <f>C10*C9</f>
        <v>0.375</v>
      </c>
      <c r="D11" s="5">
        <f>D10*D9</f>
        <v>0.375</v>
      </c>
      <c r="E11" s="5">
        <f>E10*E9</f>
        <v>0.375</v>
      </c>
    </row>
    <row r="12" spans="1:5" ht="15">
      <c r="A12" s="2"/>
      <c r="B12" s="2"/>
      <c r="C12" s="2"/>
      <c r="D12" s="2"/>
      <c r="E12" s="2"/>
    </row>
    <row r="13" spans="1:5" ht="15.75">
      <c r="A13" s="2" t="s">
        <v>37</v>
      </c>
      <c r="B13" s="6">
        <f>PV(B5,B6,-B3)</f>
        <v>18222.236644924913</v>
      </c>
      <c r="C13" s="6">
        <f>PV(C5,C6,-C3)</f>
        <v>671.0081398941446</v>
      </c>
      <c r="D13" s="6">
        <f>PV(D5,D6,-D3)</f>
        <v>308.8693971673925</v>
      </c>
      <c r="E13" s="6">
        <f>PV(E5,E6,-E3)</f>
        <v>154.43469858369625</v>
      </c>
    </row>
    <row r="14" spans="1:5" ht="15">
      <c r="A14" s="2" t="s">
        <v>32</v>
      </c>
      <c r="B14" s="7">
        <f>FV(B7,B6,,-B4)</f>
        <v>21386.41330269268</v>
      </c>
      <c r="C14" s="7">
        <f>FV(C7,C6,,-C4)</f>
        <v>1612.699655212946</v>
      </c>
      <c r="D14" s="7">
        <f>FV(D7,D6,,-D4)</f>
        <v>1612.699655212946</v>
      </c>
      <c r="E14" s="7">
        <f>FV(E7,E6,,-E4)</f>
        <v>1612.699655212946</v>
      </c>
    </row>
    <row r="15" spans="1:5" ht="15.75">
      <c r="A15" s="2" t="s">
        <v>35</v>
      </c>
      <c r="B15" s="6">
        <f>PV(B5,B6,,-B14)</f>
        <v>8492.838970588919</v>
      </c>
      <c r="C15" s="6">
        <f>PV(C5,C6,,-C14)</f>
        <v>746.9919785310522</v>
      </c>
      <c r="D15" s="6">
        <f>PV(D5,D6,,-D14)</f>
        <v>990.0576923158404</v>
      </c>
      <c r="E15" s="6">
        <f>PV(E5,E6,,-E14)</f>
        <v>990.0576923158404</v>
      </c>
    </row>
    <row r="16" spans="1:5" ht="15">
      <c r="A16" s="2" t="s">
        <v>33</v>
      </c>
      <c r="B16" s="7">
        <f>B14-B4</f>
        <v>6386.413302692679</v>
      </c>
      <c r="C16" s="7">
        <f>C14-C4</f>
        <v>412.699655212946</v>
      </c>
      <c r="D16" s="7">
        <f>D14-D4</f>
        <v>412.699655212946</v>
      </c>
      <c r="E16" s="7">
        <f>E14-E4</f>
        <v>412.699655212946</v>
      </c>
    </row>
    <row r="17" spans="1:5" ht="15">
      <c r="A17" s="2" t="s">
        <v>34</v>
      </c>
      <c r="B17" s="7">
        <f>PV(B5,B6,,-B16)</f>
        <v>2536.1325908990484</v>
      </c>
      <c r="C17" s="7">
        <f>PV(C5,C6,,-C16)</f>
        <v>191.159792829431</v>
      </c>
      <c r="D17" s="7">
        <f>PV(D5,D6,,-D16)</f>
        <v>253.36178806692928</v>
      </c>
      <c r="E17" s="7">
        <f>PV(E5,E6,,-E16)</f>
        <v>253.36178806692928</v>
      </c>
    </row>
    <row r="18" spans="1:5" ht="15.75">
      <c r="A18" s="282" t="s">
        <v>36</v>
      </c>
      <c r="B18" s="6">
        <f>B17*B11</f>
        <v>845.2929925466528</v>
      </c>
      <c r="C18" s="6">
        <f>C17*C11</f>
        <v>71.68492231103663</v>
      </c>
      <c r="D18" s="6">
        <f>D17*D11</f>
        <v>95.01067052509848</v>
      </c>
      <c r="E18" s="6">
        <f>E17*E11</f>
        <v>95.01067052509848</v>
      </c>
    </row>
    <row r="19" spans="1:5" ht="15">
      <c r="A19" s="2"/>
      <c r="B19" s="7"/>
      <c r="C19" s="7"/>
      <c r="D19" s="7"/>
      <c r="E19" s="7"/>
    </row>
    <row r="20" spans="1:5" ht="15.75">
      <c r="A20" s="3" t="s">
        <v>169</v>
      </c>
      <c r="B20" s="8">
        <f>B13+B15-B18</f>
        <v>25869.782622967177</v>
      </c>
      <c r="C20" s="8">
        <f>C13+C15-C18</f>
        <v>1346.3151961141602</v>
      </c>
      <c r="D20" s="8">
        <f>D13+D15-D18</f>
        <v>1203.9164189581345</v>
      </c>
      <c r="E20" s="8">
        <f>E13+E15-E18</f>
        <v>1049.4817203744383</v>
      </c>
    </row>
    <row r="21" spans="1:5" ht="15.75">
      <c r="A21" s="11"/>
      <c r="B21" s="12"/>
      <c r="C21" s="12"/>
      <c r="D21" s="12"/>
      <c r="E21" s="12"/>
    </row>
    <row r="22" spans="1:5" ht="15.75">
      <c r="A22" s="11"/>
      <c r="B22" s="12"/>
      <c r="C22" s="12"/>
      <c r="D22" s="12"/>
      <c r="E22" s="12"/>
    </row>
    <row r="23" spans="1:5" ht="15.75">
      <c r="A23" s="10" t="s">
        <v>40</v>
      </c>
      <c r="B23" s="7"/>
      <c r="C23" s="7"/>
      <c r="D23" s="7"/>
      <c r="E23" s="9"/>
    </row>
    <row r="24" spans="1:5" ht="15">
      <c r="A24" s="2" t="s">
        <v>41</v>
      </c>
      <c r="B24" s="7">
        <f>B3/B5</f>
        <v>30225</v>
      </c>
      <c r="C24" s="7">
        <f>C3/C5</f>
        <v>1250</v>
      </c>
      <c r="D24" s="7">
        <f>D3/D5</f>
        <v>800</v>
      </c>
      <c r="E24" s="7">
        <f>E3/E5</f>
        <v>400</v>
      </c>
    </row>
    <row r="25" spans="1:5" ht="15">
      <c r="A25" s="2" t="s">
        <v>42</v>
      </c>
      <c r="B25" s="7">
        <f>B3/(B5-B7)</f>
        <v>48360</v>
      </c>
      <c r="C25" s="7">
        <f>C3/(C5-C7)</f>
        <v>2000</v>
      </c>
      <c r="D25" s="7">
        <f>D3/(D5-D7)</f>
        <v>1999.9999999999995</v>
      </c>
      <c r="E25" s="7">
        <f>E3/(E5-E7)</f>
        <v>999.9999999999998</v>
      </c>
    </row>
    <row r="29" ht="15.75">
      <c r="A29" s="15" t="s">
        <v>43</v>
      </c>
    </row>
    <row r="30" ht="15">
      <c r="A30" s="302" t="s">
        <v>20</v>
      </c>
    </row>
    <row r="31" ht="15">
      <c r="A31" s="14" t="s">
        <v>204</v>
      </c>
    </row>
    <row r="32" ht="15">
      <c r="A32" s="15" t="s">
        <v>205</v>
      </c>
    </row>
    <row r="33" ht="15">
      <c r="A33" s="14" t="s">
        <v>206</v>
      </c>
    </row>
  </sheetData>
  <sheetProtection/>
  <printOptions/>
  <pageMargins left="0.29" right="0.34" top="1" bottom="1" header="0.5" footer="0.5"/>
  <pageSetup horizontalDpi="300" verticalDpi="300" orientation="portrait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1">
      <selection activeCell="G14" sqref="G14"/>
    </sheetView>
  </sheetViews>
  <sheetFormatPr defaultColWidth="8.88671875" defaultRowHeight="15"/>
  <cols>
    <col min="1" max="1" width="41.3359375" style="0" customWidth="1"/>
    <col min="2" max="2" width="10.21484375" style="0" customWidth="1"/>
    <col min="3" max="3" width="8.99609375" style="0" customWidth="1"/>
    <col min="4" max="4" width="16.3359375" style="0" customWidth="1"/>
    <col min="5" max="5" width="9.10546875" style="0" customWidth="1"/>
    <col min="6" max="6" width="6.88671875" style="0" customWidth="1"/>
    <col min="7" max="7" width="20.21484375" style="0" customWidth="1"/>
    <col min="8" max="11" width="10.6640625" style="0" customWidth="1"/>
  </cols>
  <sheetData>
    <row r="1" spans="1:5" ht="93">
      <c r="A1" s="328" t="s">
        <v>207</v>
      </c>
      <c r="B1" s="328"/>
      <c r="C1" s="328"/>
      <c r="D1" s="328"/>
      <c r="E1" s="18"/>
    </row>
    <row r="2" spans="1:5" ht="18" customHeight="1">
      <c r="A2" s="249" t="s">
        <v>141</v>
      </c>
      <c r="B2" s="254"/>
      <c r="C2" s="254"/>
      <c r="D2" s="254"/>
      <c r="E2" s="18"/>
    </row>
    <row r="3" spans="1:5" ht="15">
      <c r="A3" s="105" t="s">
        <v>173</v>
      </c>
      <c r="B3" s="48">
        <v>100</v>
      </c>
      <c r="E3" s="18"/>
    </row>
    <row r="4" spans="1:5" ht="15">
      <c r="A4" s="105" t="s">
        <v>45</v>
      </c>
      <c r="B4" s="48">
        <v>2000</v>
      </c>
      <c r="E4" s="18"/>
    </row>
    <row r="5" spans="1:5" ht="15">
      <c r="A5" s="105" t="s">
        <v>46</v>
      </c>
      <c r="B5" s="48">
        <f>B3*B4</f>
        <v>200000</v>
      </c>
      <c r="E5" s="18"/>
    </row>
    <row r="6" spans="1:5" ht="15">
      <c r="A6" s="105" t="s">
        <v>47</v>
      </c>
      <c r="B6" s="104">
        <v>25000</v>
      </c>
      <c r="C6" s="10" t="s">
        <v>5</v>
      </c>
      <c r="E6" s="18"/>
    </row>
    <row r="7" spans="1:5" ht="15">
      <c r="A7" s="196" t="s">
        <v>48</v>
      </c>
      <c r="B7" s="157">
        <f>B5-B6</f>
        <v>175000</v>
      </c>
      <c r="E7" s="18"/>
    </row>
    <row r="8" spans="1:5" ht="15">
      <c r="A8" s="196" t="s">
        <v>49</v>
      </c>
      <c r="B8" s="152">
        <v>7</v>
      </c>
      <c r="E8" s="18"/>
    </row>
    <row r="9" spans="1:5" ht="15">
      <c r="A9" s="196" t="s">
        <v>162</v>
      </c>
      <c r="B9" s="153">
        <v>15</v>
      </c>
      <c r="E9" s="37"/>
    </row>
    <row r="10" spans="1:5" ht="15">
      <c r="A10" s="196" t="s">
        <v>50</v>
      </c>
      <c r="B10" s="153">
        <v>1</v>
      </c>
      <c r="E10" s="37"/>
    </row>
    <row r="11" spans="1:5" ht="15">
      <c r="A11" s="283" t="s">
        <v>88</v>
      </c>
      <c r="B11" s="154">
        <v>2</v>
      </c>
      <c r="E11" s="37"/>
    </row>
    <row r="12" spans="1:5" ht="15">
      <c r="A12" s="197">
        <f>IF(OR(B9&lt;1,),"WARNING: LOANS MUST BE AT LEAST ONE YEAR IN LENGTH",IF(OR(B10&lt;1),"WARNING: MINIMUM OF ONE  PAYMENT PER YEAR REQUIRED",IF(OR(B11&lt;1),"WARNING: AT LEAST ONE COMPOUND PER YEAR REQUIRED","")))</f>
      </c>
      <c r="B12" s="39"/>
      <c r="E12" s="37"/>
    </row>
    <row r="13" spans="1:5" ht="15">
      <c r="A13" s="198" t="s">
        <v>51</v>
      </c>
      <c r="B13" s="36">
        <f>IF(AND(AND(AND(AND(B9&gt;=1,B10&gt;=1),B11&gt;=1),B7&gt;=0),B8&gt;=0),IF(B8=0,B7/B9/B10,((1+(B8/(B11*100)))^(B11/B10)-1)/(1-((1/(1+((1+(B8/(B11*100)))^(B11/B10)-1))^(B10*B9))))*B7),#VALUE!)</f>
        <v>19362.990468693697</v>
      </c>
      <c r="E13" s="37"/>
    </row>
    <row r="14" spans="1:5" ht="15">
      <c r="A14" s="198" t="s">
        <v>175</v>
      </c>
      <c r="B14" s="36">
        <f>B13*B10*B9</f>
        <v>290444.85703040543</v>
      </c>
      <c r="E14" s="37"/>
    </row>
    <row r="15" spans="1:5" ht="15">
      <c r="A15" s="173" t="s">
        <v>52</v>
      </c>
      <c r="D15" s="13"/>
      <c r="E15" s="151"/>
    </row>
    <row r="16" spans="1:6" ht="15">
      <c r="A16" s="105" t="s">
        <v>53</v>
      </c>
      <c r="B16" s="115">
        <v>100000</v>
      </c>
      <c r="C16" s="2"/>
      <c r="D16" s="13"/>
      <c r="E16" s="155"/>
      <c r="F16" s="52"/>
    </row>
    <row r="17" spans="1:6" ht="15">
      <c r="A17" s="156" t="s">
        <v>54</v>
      </c>
      <c r="B17" s="115">
        <v>100000</v>
      </c>
      <c r="C17" s="2"/>
      <c r="D17" s="13"/>
      <c r="E17" s="155"/>
      <c r="F17" s="52"/>
    </row>
    <row r="18" spans="1:6" ht="15.75">
      <c r="A18" s="249" t="s">
        <v>149</v>
      </c>
      <c r="B18" s="64"/>
      <c r="C18" s="161"/>
      <c r="D18" s="65"/>
      <c r="F18" s="52"/>
    </row>
    <row r="19" spans="1:6" ht="38.25">
      <c r="A19" s="159" t="s">
        <v>176</v>
      </c>
      <c r="B19" s="158">
        <v>250000</v>
      </c>
      <c r="C19" s="2"/>
      <c r="D19" s="13"/>
      <c r="F19" s="52"/>
    </row>
    <row r="20" spans="1:6" ht="15">
      <c r="A20" s="105" t="s">
        <v>55</v>
      </c>
      <c r="B20" s="115">
        <v>50000</v>
      </c>
      <c r="C20" s="2"/>
      <c r="D20" s="13"/>
      <c r="F20" s="52"/>
    </row>
    <row r="21" spans="1:6" ht="15">
      <c r="A21" s="173" t="s">
        <v>56</v>
      </c>
      <c r="B21" s="118">
        <f>B19+B20</f>
        <v>300000</v>
      </c>
      <c r="C21" s="10" t="s">
        <v>7</v>
      </c>
      <c r="F21" s="52"/>
    </row>
    <row r="22" spans="1:6" ht="15.75">
      <c r="A22" s="250" t="s">
        <v>202</v>
      </c>
      <c r="B22" s="116"/>
      <c r="C22" s="63"/>
      <c r="D22" s="63"/>
      <c r="F22" s="52"/>
    </row>
    <row r="23" spans="1:6" ht="38.25">
      <c r="A23" s="160" t="s">
        <v>151</v>
      </c>
      <c r="B23" s="115">
        <v>180000</v>
      </c>
      <c r="C23" s="13"/>
      <c r="D23" s="13"/>
      <c r="F23" s="52"/>
    </row>
    <row r="24" spans="1:6" ht="16.5" customHeight="1">
      <c r="A24" s="299" t="s">
        <v>62</v>
      </c>
      <c r="B24" s="115">
        <v>30000</v>
      </c>
      <c r="C24" s="13"/>
      <c r="D24" s="13"/>
      <c r="F24" s="52"/>
    </row>
    <row r="25" spans="1:6" ht="15">
      <c r="A25" s="105" t="s">
        <v>57</v>
      </c>
      <c r="B25" s="117">
        <f>B16*0.1</f>
        <v>10000</v>
      </c>
      <c r="C25" s="13"/>
      <c r="D25" s="13"/>
      <c r="F25" s="52"/>
    </row>
    <row r="26" spans="1:6" ht="15">
      <c r="A26" s="105" t="s">
        <v>58</v>
      </c>
      <c r="B26" s="117">
        <f>B17*0.05</f>
        <v>5000</v>
      </c>
      <c r="C26" s="13"/>
      <c r="D26" s="13"/>
      <c r="F26" s="52"/>
    </row>
    <row r="27" spans="1:6" ht="15">
      <c r="A27" s="105" t="s">
        <v>177</v>
      </c>
      <c r="B27" s="115">
        <v>30000</v>
      </c>
      <c r="C27" s="13"/>
      <c r="D27" s="13"/>
      <c r="F27" s="52"/>
    </row>
    <row r="28" spans="1:6" ht="15">
      <c r="A28" s="105" t="s">
        <v>59</v>
      </c>
      <c r="B28" s="115">
        <v>5000</v>
      </c>
      <c r="C28" s="13"/>
      <c r="D28" s="13"/>
      <c r="F28" s="52"/>
    </row>
    <row r="29" spans="1:6" ht="25.5">
      <c r="A29" s="160" t="s">
        <v>178</v>
      </c>
      <c r="B29" s="117">
        <v>0</v>
      </c>
      <c r="C29" s="13"/>
      <c r="D29" s="13"/>
      <c r="F29" s="52"/>
    </row>
    <row r="30" spans="1:6" ht="15">
      <c r="A30" s="284" t="s">
        <v>60</v>
      </c>
      <c r="B30" s="169">
        <f>SUM(B23:B29)</f>
        <v>260000</v>
      </c>
      <c r="C30" s="11" t="s">
        <v>6</v>
      </c>
      <c r="F30" s="52"/>
    </row>
    <row r="31" spans="1:6" ht="15.75">
      <c r="A31" s="255" t="s">
        <v>61</v>
      </c>
      <c r="B31" s="169"/>
      <c r="C31" s="11"/>
      <c r="D31" s="170"/>
      <c r="F31" s="52"/>
    </row>
    <row r="32" spans="1:6" ht="15">
      <c r="A32" s="303" t="s">
        <v>190</v>
      </c>
      <c r="B32" s="171">
        <v>0.25</v>
      </c>
      <c r="C32" s="11" t="s">
        <v>8</v>
      </c>
      <c r="F32" s="52"/>
    </row>
    <row r="33" spans="1:6" ht="15">
      <c r="A33" s="304" t="s">
        <v>191</v>
      </c>
      <c r="B33" s="117">
        <f>B21-B30</f>
        <v>40000</v>
      </c>
      <c r="C33" s="10" t="s">
        <v>9</v>
      </c>
      <c r="F33" s="52"/>
    </row>
    <row r="34" spans="1:6" ht="15">
      <c r="A34" s="284" t="s">
        <v>156</v>
      </c>
      <c r="B34" s="117">
        <f>B33*B32</f>
        <v>10000</v>
      </c>
      <c r="C34" s="10" t="s">
        <v>10</v>
      </c>
      <c r="F34" s="52"/>
    </row>
    <row r="35" spans="1:6" ht="15">
      <c r="A35" s="105" t="s">
        <v>63</v>
      </c>
      <c r="B35" s="117">
        <f>B33-B34</f>
        <v>30000</v>
      </c>
      <c r="C35" s="10" t="s">
        <v>11</v>
      </c>
      <c r="F35" s="52"/>
    </row>
    <row r="36" spans="1:6" ht="15">
      <c r="A36" s="172" t="s">
        <v>64</v>
      </c>
      <c r="B36" s="165">
        <f>B13</f>
        <v>19362.990468693697</v>
      </c>
      <c r="C36" s="10"/>
      <c r="D36" s="13"/>
      <c r="F36" s="52"/>
    </row>
    <row r="37" spans="1:6" ht="15">
      <c r="A37" s="305" t="s">
        <v>208</v>
      </c>
      <c r="B37" s="166">
        <f>B35-B36</f>
        <v>10637.009531306303</v>
      </c>
      <c r="C37" s="10"/>
      <c r="D37" s="13"/>
      <c r="F37" s="52"/>
    </row>
    <row r="38" spans="1:6" ht="15">
      <c r="A38" s="167"/>
      <c r="B38" s="168"/>
      <c r="C38" s="10"/>
      <c r="D38" s="13"/>
      <c r="F38" s="52"/>
    </row>
    <row r="39" spans="1:6" ht="15.75">
      <c r="A39" s="245" t="s">
        <v>192</v>
      </c>
      <c r="B39" s="117"/>
      <c r="C39" s="10"/>
      <c r="D39" s="13"/>
      <c r="F39" s="52"/>
    </row>
    <row r="40" spans="1:6" ht="15">
      <c r="A40" s="13" t="s">
        <v>65</v>
      </c>
      <c r="B40" s="163">
        <f>B13/B7</f>
        <v>0.11064565982110684</v>
      </c>
      <c r="C40" s="10" t="s">
        <v>12</v>
      </c>
      <c r="F40" s="52"/>
    </row>
    <row r="41" spans="1:6" ht="15">
      <c r="A41" s="306" t="s">
        <v>66</v>
      </c>
      <c r="B41" s="117">
        <f>B35/B40</f>
        <v>271135.8045901153</v>
      </c>
      <c r="C41" s="10" t="s">
        <v>13</v>
      </c>
      <c r="D41" s="13"/>
      <c r="F41" s="52"/>
    </row>
    <row r="42" spans="1:6" ht="15">
      <c r="A42" s="285" t="s">
        <v>157</v>
      </c>
      <c r="B42" s="117">
        <f>B41+B6</f>
        <v>296135.8045901153</v>
      </c>
      <c r="C42" s="10" t="s">
        <v>14</v>
      </c>
      <c r="E42" s="67"/>
      <c r="F42" s="52"/>
    </row>
    <row r="43" spans="1:4" ht="15.75" thickBot="1">
      <c r="A43" s="174"/>
      <c r="B43" s="171"/>
      <c r="C43" s="10"/>
      <c r="D43" s="13"/>
    </row>
    <row r="44" spans="1:4" ht="16.5" customHeight="1" thickBot="1">
      <c r="A44" s="325" t="s">
        <v>67</v>
      </c>
      <c r="B44" s="326"/>
      <c r="C44" s="326"/>
      <c r="D44" s="327"/>
    </row>
    <row r="45" spans="5:7" ht="15">
      <c r="E45" s="68"/>
      <c r="F45" s="68"/>
      <c r="G45" s="68"/>
    </row>
    <row r="46" spans="1:7" ht="20.25">
      <c r="A46" s="256"/>
      <c r="B46" s="257" t="s">
        <v>68</v>
      </c>
      <c r="C46" s="258"/>
      <c r="D46" s="259" t="s">
        <v>0</v>
      </c>
      <c r="E46" s="19"/>
      <c r="F46" s="69"/>
      <c r="G46" s="69"/>
    </row>
    <row r="47" spans="1:7" ht="15.75">
      <c r="A47" s="287" t="s">
        <v>69</v>
      </c>
      <c r="B47" s="20" t="s">
        <v>71</v>
      </c>
      <c r="C47" s="288" t="s">
        <v>73</v>
      </c>
      <c r="D47" s="20" t="s">
        <v>75</v>
      </c>
      <c r="E47" s="21" t="s">
        <v>77</v>
      </c>
      <c r="F47" s="69"/>
      <c r="G47" s="69"/>
    </row>
    <row r="48" spans="1:7" ht="15">
      <c r="A48" s="286" t="s">
        <v>210</v>
      </c>
      <c r="B48" s="22" t="s">
        <v>72</v>
      </c>
      <c r="C48" s="289" t="s">
        <v>74</v>
      </c>
      <c r="D48" s="22" t="s">
        <v>76</v>
      </c>
      <c r="E48" s="23" t="s">
        <v>72</v>
      </c>
      <c r="F48" s="69"/>
      <c r="G48" s="69"/>
    </row>
    <row r="49" spans="1:7" ht="15">
      <c r="A49" s="24" t="s">
        <v>70</v>
      </c>
      <c r="B49" s="25"/>
      <c r="C49" s="25"/>
      <c r="D49" s="25"/>
      <c r="E49" s="26"/>
      <c r="F49" s="68"/>
      <c r="G49" s="68"/>
    </row>
    <row r="50" spans="2:7" ht="15">
      <c r="B50" s="27">
        <v>0</v>
      </c>
      <c r="C50" s="28">
        <v>0</v>
      </c>
      <c r="D50" s="29">
        <v>0</v>
      </c>
      <c r="E50" s="30">
        <f>B50*C50/100*D50/12</f>
        <v>0</v>
      </c>
      <c r="F50" s="68"/>
      <c r="G50" s="68"/>
    </row>
    <row r="51" spans="1:7" ht="15">
      <c r="A51" s="31"/>
      <c r="B51" s="27">
        <v>0</v>
      </c>
      <c r="C51" s="28">
        <v>0</v>
      </c>
      <c r="D51" s="29">
        <v>0</v>
      </c>
      <c r="E51" s="30">
        <f>B51*C51/100*D51/12</f>
        <v>0</v>
      </c>
      <c r="F51" s="68"/>
      <c r="G51" s="68"/>
    </row>
    <row r="52" spans="1:7" ht="15">
      <c r="A52" s="31" t="s">
        <v>1</v>
      </c>
      <c r="B52" s="27">
        <v>0</v>
      </c>
      <c r="C52" s="28">
        <v>0</v>
      </c>
      <c r="D52" s="29">
        <v>0</v>
      </c>
      <c r="E52" s="30">
        <f>B52*C52/100*D52/12</f>
        <v>0</v>
      </c>
      <c r="F52" s="68"/>
      <c r="G52" s="68"/>
    </row>
    <row r="53" spans="1:7" ht="15">
      <c r="A53" s="24" t="s">
        <v>79</v>
      </c>
      <c r="B53" s="33"/>
      <c r="C53" s="34"/>
      <c r="D53" s="35"/>
      <c r="E53" s="30"/>
      <c r="F53" s="68"/>
      <c r="G53" s="68"/>
    </row>
    <row r="54" spans="2:7" ht="15">
      <c r="B54" s="27">
        <v>0</v>
      </c>
      <c r="C54" s="28">
        <v>0</v>
      </c>
      <c r="D54" s="29">
        <v>0</v>
      </c>
      <c r="E54" s="30">
        <f>B54*C54/100*D54/12</f>
        <v>0</v>
      </c>
      <c r="F54" s="68"/>
      <c r="G54" s="68"/>
    </row>
    <row r="55" spans="1:7" ht="15">
      <c r="A55" s="31" t="s">
        <v>1</v>
      </c>
      <c r="B55" s="27">
        <v>0</v>
      </c>
      <c r="C55" s="28">
        <v>0</v>
      </c>
      <c r="D55" s="29">
        <v>0</v>
      </c>
      <c r="E55" s="30">
        <f>B55*C55/100*D55/12</f>
        <v>0</v>
      </c>
      <c r="F55" s="68"/>
      <c r="G55" s="68"/>
    </row>
    <row r="56" spans="1:7" ht="15">
      <c r="A56" s="31" t="s">
        <v>1</v>
      </c>
      <c r="B56" s="27">
        <v>0</v>
      </c>
      <c r="C56" s="28">
        <v>0</v>
      </c>
      <c r="D56" s="29">
        <v>0</v>
      </c>
      <c r="E56" s="30">
        <f>B56*C56/100*D56/12</f>
        <v>0</v>
      </c>
      <c r="F56" s="68"/>
      <c r="G56" s="68"/>
    </row>
    <row r="57" spans="1:7" ht="15">
      <c r="A57" s="31" t="s">
        <v>1</v>
      </c>
      <c r="B57" s="27">
        <v>0</v>
      </c>
      <c r="C57" s="28">
        <v>0</v>
      </c>
      <c r="D57" s="29">
        <v>0</v>
      </c>
      <c r="E57" s="30">
        <f>B57*C57/100*D57/12</f>
        <v>0</v>
      </c>
      <c r="F57" s="68"/>
      <c r="G57" s="68"/>
    </row>
    <row r="58" spans="1:8" ht="15">
      <c r="A58" s="31" t="s">
        <v>1</v>
      </c>
      <c r="B58" s="27">
        <v>0</v>
      </c>
      <c r="C58" s="28">
        <v>0</v>
      </c>
      <c r="D58" s="29">
        <v>0</v>
      </c>
      <c r="E58" s="30">
        <f>B58*C58/100*D58/12</f>
        <v>0</v>
      </c>
      <c r="F58" s="68"/>
      <c r="G58" s="68"/>
      <c r="H58" s="69"/>
    </row>
    <row r="59" spans="1:8" ht="15">
      <c r="A59" s="290" t="s">
        <v>168</v>
      </c>
      <c r="B59" s="42">
        <f>SUM(B50:B58)</f>
        <v>0</v>
      </c>
      <c r="C59" s="43"/>
      <c r="D59" s="43"/>
      <c r="E59" s="44">
        <f>SUM(E50:E58)</f>
        <v>0</v>
      </c>
      <c r="F59" s="68"/>
      <c r="G59" s="68"/>
      <c r="H59" s="69"/>
    </row>
    <row r="60" spans="1:8" ht="15.75">
      <c r="A60" s="45" t="s">
        <v>80</v>
      </c>
      <c r="B60" s="46"/>
      <c r="C60" s="46"/>
      <c r="D60" s="46"/>
      <c r="E60" s="47"/>
      <c r="F60" s="68"/>
      <c r="G60" s="68"/>
      <c r="H60" s="69"/>
    </row>
    <row r="61" spans="1:8" ht="15">
      <c r="A61" s="291" t="s">
        <v>209</v>
      </c>
      <c r="B61" s="307" t="s">
        <v>94</v>
      </c>
      <c r="C61" s="49" t="s">
        <v>89</v>
      </c>
      <c r="D61" s="54" t="s">
        <v>90</v>
      </c>
      <c r="E61" s="50" t="s">
        <v>92</v>
      </c>
      <c r="F61" s="72"/>
      <c r="G61" s="73"/>
      <c r="H61" s="69"/>
    </row>
    <row r="62" spans="1:8" ht="15">
      <c r="A62" s="53"/>
      <c r="B62" s="49" t="s">
        <v>78</v>
      </c>
      <c r="C62" s="49" t="s">
        <v>172</v>
      </c>
      <c r="D62" s="54" t="s">
        <v>91</v>
      </c>
      <c r="E62" s="50" t="s">
        <v>93</v>
      </c>
      <c r="F62" s="72"/>
      <c r="G62" s="73"/>
      <c r="H62" s="69"/>
    </row>
    <row r="63" spans="1:8" ht="15">
      <c r="A63" s="55" t="s">
        <v>81</v>
      </c>
      <c r="B63" s="25"/>
      <c r="C63" s="25"/>
      <c r="D63" s="56"/>
      <c r="E63" s="26"/>
      <c r="F63" s="71"/>
      <c r="G63" s="71"/>
      <c r="H63" s="69"/>
    </row>
    <row r="64" spans="2:8" ht="15">
      <c r="B64" s="57">
        <v>0</v>
      </c>
      <c r="C64" s="58">
        <v>0</v>
      </c>
      <c r="D64" s="59">
        <v>0</v>
      </c>
      <c r="E64" s="30">
        <f>C64+D64</f>
        <v>0</v>
      </c>
      <c r="F64" s="69"/>
      <c r="G64" s="69"/>
      <c r="H64" s="69"/>
    </row>
    <row r="65" spans="1:8" ht="15">
      <c r="A65" s="60" t="s">
        <v>1</v>
      </c>
      <c r="B65" s="57">
        <v>521</v>
      </c>
      <c r="C65" s="58">
        <v>0</v>
      </c>
      <c r="D65" s="59">
        <v>0</v>
      </c>
      <c r="E65" s="30">
        <f>C65+D65</f>
        <v>0</v>
      </c>
      <c r="F65" s="69"/>
      <c r="G65" s="69"/>
      <c r="H65" s="69"/>
    </row>
    <row r="66" spans="1:8" ht="15">
      <c r="A66" s="60" t="s">
        <v>1</v>
      </c>
      <c r="B66" s="57">
        <v>0</v>
      </c>
      <c r="C66" s="58">
        <v>0</v>
      </c>
      <c r="D66" s="59">
        <v>0</v>
      </c>
      <c r="E66" s="30">
        <f>C66+D66</f>
        <v>0</v>
      </c>
      <c r="F66" s="71"/>
      <c r="G66" s="69"/>
      <c r="H66" s="70"/>
    </row>
    <row r="67" spans="1:8" ht="15">
      <c r="A67" s="55" t="s">
        <v>82</v>
      </c>
      <c r="B67" s="61"/>
      <c r="C67" s="62"/>
      <c r="D67" s="59"/>
      <c r="E67" s="30"/>
      <c r="F67" s="68"/>
      <c r="G67" s="68"/>
      <c r="H67" s="68"/>
    </row>
    <row r="68" spans="2:8" ht="15">
      <c r="B68" s="57">
        <v>0</v>
      </c>
      <c r="C68" s="58">
        <v>0</v>
      </c>
      <c r="D68" s="59">
        <v>0</v>
      </c>
      <c r="E68" s="30">
        <f>C68+D68</f>
        <v>0</v>
      </c>
      <c r="F68" s="68"/>
      <c r="G68" s="68"/>
      <c r="H68" s="68"/>
    </row>
    <row r="69" spans="1:8" ht="15">
      <c r="A69" s="60" t="s">
        <v>1</v>
      </c>
      <c r="B69" s="57">
        <v>0</v>
      </c>
      <c r="C69" s="58">
        <v>0</v>
      </c>
      <c r="D69" s="59">
        <v>0</v>
      </c>
      <c r="E69" s="30">
        <f>C69+D69</f>
        <v>0</v>
      </c>
      <c r="F69" s="68"/>
      <c r="G69" s="68"/>
      <c r="H69" s="68"/>
    </row>
    <row r="70" spans="1:8" ht="15">
      <c r="A70" s="31" t="s">
        <v>1</v>
      </c>
      <c r="B70" s="57">
        <v>0</v>
      </c>
      <c r="C70" s="58">
        <v>0</v>
      </c>
      <c r="D70" s="59">
        <v>0</v>
      </c>
      <c r="E70" s="30">
        <f>C70+D70</f>
        <v>0</v>
      </c>
      <c r="F70" s="68"/>
      <c r="G70" s="68"/>
      <c r="H70" s="68"/>
    </row>
    <row r="71" spans="1:8" ht="15">
      <c r="A71" s="31" t="s">
        <v>1</v>
      </c>
      <c r="B71" s="57">
        <v>0</v>
      </c>
      <c r="C71" s="58">
        <v>0</v>
      </c>
      <c r="D71" s="59">
        <v>0</v>
      </c>
      <c r="E71" s="30">
        <f>C71+D71</f>
        <v>0</v>
      </c>
      <c r="F71" s="68"/>
      <c r="G71" s="68"/>
      <c r="H71" s="68"/>
    </row>
    <row r="72" spans="1:8" ht="15">
      <c r="A72" s="24" t="s">
        <v>83</v>
      </c>
      <c r="B72" s="61"/>
      <c r="C72" s="62"/>
      <c r="D72" s="59"/>
      <c r="E72" s="30"/>
      <c r="F72" s="68"/>
      <c r="G72" s="68"/>
      <c r="H72" s="68"/>
    </row>
    <row r="73" spans="2:8" ht="15">
      <c r="B73" s="57">
        <v>0</v>
      </c>
      <c r="C73" s="58">
        <v>0</v>
      </c>
      <c r="D73" s="59">
        <v>0</v>
      </c>
      <c r="E73" s="30">
        <f>C73+D73</f>
        <v>0</v>
      </c>
      <c r="F73" s="68"/>
      <c r="G73" s="68"/>
      <c r="H73" s="68"/>
    </row>
    <row r="74" spans="1:8" ht="15">
      <c r="A74" s="31" t="s">
        <v>1</v>
      </c>
      <c r="B74" s="57">
        <v>0</v>
      </c>
      <c r="C74" s="58">
        <v>0</v>
      </c>
      <c r="D74" s="59">
        <v>0</v>
      </c>
      <c r="E74" s="30">
        <f>C74+D74</f>
        <v>0</v>
      </c>
      <c r="F74" s="68"/>
      <c r="G74" s="68"/>
      <c r="H74" s="68"/>
    </row>
    <row r="75" spans="1:8" ht="15">
      <c r="A75" s="31" t="s">
        <v>1</v>
      </c>
      <c r="B75" s="66">
        <v>0</v>
      </c>
      <c r="C75" s="58">
        <v>0</v>
      </c>
      <c r="D75" s="59">
        <v>0</v>
      </c>
      <c r="E75" s="30">
        <f>C75+D75</f>
        <v>0</v>
      </c>
      <c r="F75" s="68"/>
      <c r="G75" s="68"/>
      <c r="H75" s="68"/>
    </row>
    <row r="76" spans="1:8" ht="15">
      <c r="A76" s="290" t="s">
        <v>168</v>
      </c>
      <c r="B76" s="43">
        <f>SUM(B64:B75)</f>
        <v>521</v>
      </c>
      <c r="C76" s="43">
        <f>SUM(C64:C75)</f>
        <v>0</v>
      </c>
      <c r="D76" s="43">
        <f>SUM(D64:D75)</f>
        <v>0</v>
      </c>
      <c r="E76" s="44">
        <f>SUM(E64:E75)</f>
        <v>0</v>
      </c>
      <c r="F76" s="68"/>
      <c r="G76" s="68"/>
      <c r="H76" s="68"/>
    </row>
    <row r="77" spans="6:8" ht="15">
      <c r="F77" s="68"/>
      <c r="G77" s="68"/>
      <c r="H77" s="68"/>
    </row>
    <row r="78" spans="6:8" ht="15">
      <c r="F78" s="68"/>
      <c r="G78" s="68"/>
      <c r="H78" s="68"/>
    </row>
    <row r="79" spans="1:8" ht="18">
      <c r="A79" s="294" t="s">
        <v>95</v>
      </c>
      <c r="B79" s="119"/>
      <c r="C79" s="120"/>
      <c r="D79" s="121"/>
      <c r="E79" s="68"/>
      <c r="F79" s="68"/>
      <c r="G79" s="68"/>
      <c r="H79" s="68"/>
    </row>
    <row r="80" spans="1:8" ht="15">
      <c r="A80" s="122"/>
      <c r="B80" s="295" t="s">
        <v>96</v>
      </c>
      <c r="C80" s="124" t="s">
        <v>97</v>
      </c>
      <c r="D80" s="125" t="s">
        <v>98</v>
      </c>
      <c r="E80" s="68"/>
      <c r="F80" s="68"/>
      <c r="G80" s="68"/>
      <c r="H80" s="68"/>
    </row>
    <row r="81" spans="1:8" ht="15">
      <c r="A81" s="292" t="s">
        <v>84</v>
      </c>
      <c r="B81" s="144">
        <v>5000</v>
      </c>
      <c r="C81" s="127">
        <v>100000</v>
      </c>
      <c r="D81" s="128">
        <v>120000</v>
      </c>
      <c r="E81" s="68"/>
      <c r="F81" s="68"/>
      <c r="G81" s="68"/>
      <c r="H81" s="68"/>
    </row>
    <row r="82" spans="1:8" ht="15">
      <c r="A82" s="126" t="s">
        <v>85</v>
      </c>
      <c r="B82" s="145">
        <v>7</v>
      </c>
      <c r="C82" s="129">
        <v>12</v>
      </c>
      <c r="D82" s="130">
        <v>11.25</v>
      </c>
      <c r="E82" s="68"/>
      <c r="F82" s="68"/>
      <c r="G82" s="68"/>
      <c r="H82" s="68"/>
    </row>
    <row r="83" spans="1:4" ht="15">
      <c r="A83" s="293" t="s">
        <v>171</v>
      </c>
      <c r="B83" s="146">
        <v>15</v>
      </c>
      <c r="C83" s="129">
        <v>15</v>
      </c>
      <c r="D83" s="130">
        <v>20</v>
      </c>
    </row>
    <row r="84" spans="1:4" ht="15">
      <c r="A84" s="293" t="s">
        <v>174</v>
      </c>
      <c r="B84" s="146">
        <v>1</v>
      </c>
      <c r="C84" s="129">
        <v>12</v>
      </c>
      <c r="D84" s="130">
        <v>12</v>
      </c>
    </row>
    <row r="85" spans="1:4" ht="15">
      <c r="A85" s="131" t="s">
        <v>211</v>
      </c>
      <c r="B85" s="147">
        <v>1</v>
      </c>
      <c r="C85" s="129">
        <v>2</v>
      </c>
      <c r="D85" s="130">
        <v>2</v>
      </c>
    </row>
    <row r="86" spans="1:4" ht="15">
      <c r="A86" s="132">
        <f>IF(OR(OR(B83&lt;1,C83&lt;1),D83&lt;1),"REMARQUE: LES PRÊTS DOIVENT AVOIR UNE DURÉE D'AU MOINS UN AN.",IF(OR(OR(B84&lt;1,C84&lt;1),D84&lt;1),"REMARQUE: AU MOINS UN PAIEMENT PAR ANNÉE EST REQUIS.",IF(OR(OR(B85&lt;1,C85&lt;1),D85&lt;1),"REMARQUE: L'INTÉRÊT DOIT ÊTRE COMPOSÉ AU MOINS UNE FOIS PAR ANNÉE.","")))</f>
      </c>
      <c r="B86" s="148"/>
      <c r="C86" s="32"/>
      <c r="D86" s="133"/>
    </row>
    <row r="87" spans="1:4" ht="15">
      <c r="A87" s="134" t="s">
        <v>86</v>
      </c>
      <c r="B87" s="149">
        <f>IF(AND(AND(AND(AND(B83&gt;=1,B84&gt;=1),B85&gt;=1),B81&gt;=0),B82&gt;=0),IF(B82=0,B81/B83/B84,((1+(B82/(B85*100)))^(B85/B84)-1)/(1-((1/(1+((1+(B82/(B85*100)))^(B85/B84)-1))^(B84*B83))))*B81),#VALUE!)</f>
        <v>548.9731235050331</v>
      </c>
      <c r="C87" s="36">
        <f>IF(AND(AND(AND(AND(C83&gt;=1,C84&gt;=1),C85&gt;=1),C81&gt;=0),C82&gt;=0),IF(C82=0,C81/C83/C84,((1+(C82/(C85*100)))^(C85/C84)-1)/(1-((1/(1+((1+(C82/(C85*100)))^(C85/C84)-1))^(C84*C83))))*C81),#VALUE!)</f>
        <v>1181.6096242895492</v>
      </c>
      <c r="D87" s="135">
        <f>IF(AND(AND(AND(AND(D83&gt;=1,D84&gt;=1),D85&gt;=1),D81&gt;=0),D82&gt;=0),IF(D82=0,D81/D83/D84,((1+(D82/(D85*100)))^(D85/D84)-1)/(1-((1/(1+((1+(D82/(D85*100)))^(D85/D84)-1))^(D84*D83))))*D81),#VALUE!)</f>
        <v>1238.2214878996447</v>
      </c>
    </row>
    <row r="88" spans="1:4" ht="15">
      <c r="A88" s="136" t="s">
        <v>87</v>
      </c>
      <c r="B88" s="150">
        <f>B87*B83*B84-B81</f>
        <v>3234.596852575496</v>
      </c>
      <c r="C88" s="38">
        <f>C87*C83*C84-C81</f>
        <v>112689.73237211883</v>
      </c>
      <c r="D88" s="137">
        <f>D87*D83*D84-D81</f>
        <v>177173.1570959147</v>
      </c>
    </row>
    <row r="89" spans="1:4" ht="15">
      <c r="A89" s="138"/>
      <c r="B89" s="39">
        <f>B87*B83*B84</f>
        <v>8234.596852575496</v>
      </c>
      <c r="C89" s="39"/>
      <c r="D89" s="139"/>
    </row>
    <row r="90" spans="1:4" ht="15">
      <c r="A90" s="134" t="s">
        <v>170</v>
      </c>
      <c r="B90" s="40"/>
      <c r="C90" s="41">
        <f>B87-C87</f>
        <v>-632.6365007845161</v>
      </c>
      <c r="D90" s="140">
        <f>B87-D87</f>
        <v>-689.2483643946116</v>
      </c>
    </row>
    <row r="91" spans="1:4" ht="15">
      <c r="A91" s="136" t="s">
        <v>212</v>
      </c>
      <c r="B91" s="141"/>
      <c r="C91" s="142">
        <f>B88-C88</f>
        <v>-109455.13551954333</v>
      </c>
      <c r="D91" s="143">
        <f>B88-D88</f>
        <v>-173938.56024333922</v>
      </c>
    </row>
    <row r="93" ht="15">
      <c r="B93" s="164"/>
    </row>
  </sheetData>
  <sheetProtection/>
  <printOptions/>
  <pageMargins left="0.75" right="0.75" top="0.69" bottom="0.65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">
      <selection activeCell="A14" sqref="A14:E14"/>
    </sheetView>
  </sheetViews>
  <sheetFormatPr defaultColWidth="8.77734375" defaultRowHeight="15"/>
  <cols>
    <col min="1" max="1" width="41.21484375" style="93" customWidth="1"/>
    <col min="2" max="2" width="9.21484375" style="13" customWidth="1"/>
    <col min="3" max="3" width="8.77734375" style="13" customWidth="1"/>
    <col min="4" max="4" width="5.99609375" style="13" customWidth="1"/>
    <col min="5" max="5" width="9.77734375" style="13" customWidth="1"/>
    <col min="6" max="16384" width="8.77734375" style="13" customWidth="1"/>
  </cols>
  <sheetData>
    <row r="1" spans="1:5" s="91" customFormat="1" ht="21">
      <c r="A1" s="175" t="s">
        <v>99</v>
      </c>
      <c r="B1" s="90"/>
      <c r="C1" s="90"/>
      <c r="D1" s="90"/>
      <c r="E1" s="90"/>
    </row>
    <row r="2" spans="1:2" ht="12.75">
      <c r="A2" s="93" t="s">
        <v>221</v>
      </c>
      <c r="B2" s="48">
        <v>800</v>
      </c>
    </row>
    <row r="3" spans="1:2" ht="12.75">
      <c r="A3" s="93" t="s">
        <v>222</v>
      </c>
      <c r="B3" s="48">
        <v>200</v>
      </c>
    </row>
    <row r="4" spans="1:2" ht="12.75">
      <c r="A4" s="93" t="s">
        <v>179</v>
      </c>
      <c r="B4" s="94">
        <v>0.03</v>
      </c>
    </row>
    <row r="5" spans="1:2" ht="12.75">
      <c r="A5" s="308" t="s">
        <v>213</v>
      </c>
      <c r="B5" s="104">
        <v>20000</v>
      </c>
    </row>
    <row r="6" spans="1:2" ht="12.75">
      <c r="A6" s="93" t="s">
        <v>38</v>
      </c>
      <c r="B6" s="108">
        <v>5</v>
      </c>
    </row>
    <row r="7" spans="1:2" ht="12.75">
      <c r="A7" s="93" t="s">
        <v>100</v>
      </c>
      <c r="B7" s="107">
        <v>2400</v>
      </c>
    </row>
    <row r="8" spans="1:2" s="91" customFormat="1" ht="12.75">
      <c r="A8" s="95" t="s">
        <v>101</v>
      </c>
      <c r="B8" s="109"/>
    </row>
    <row r="9" spans="1:2" ht="12.75">
      <c r="A9" s="93" t="s">
        <v>102</v>
      </c>
      <c r="B9" s="104">
        <v>25000</v>
      </c>
    </row>
    <row r="10" spans="1:2" ht="12.75">
      <c r="A10" s="93" t="s">
        <v>103</v>
      </c>
      <c r="B10" s="104">
        <v>110000</v>
      </c>
    </row>
    <row r="11" spans="1:2" ht="12.75">
      <c r="A11" s="93" t="s">
        <v>104</v>
      </c>
      <c r="B11" s="110">
        <v>0</v>
      </c>
    </row>
    <row r="12" spans="1:2" ht="12.75">
      <c r="A12" s="93" t="s">
        <v>105</v>
      </c>
      <c r="B12" s="104">
        <v>15000</v>
      </c>
    </row>
    <row r="13" s="91" customFormat="1" ht="12.75">
      <c r="A13" s="95" t="s">
        <v>106</v>
      </c>
    </row>
    <row r="14" spans="1:5" ht="16.5" customHeight="1">
      <c r="A14" s="321" t="s">
        <v>223</v>
      </c>
      <c r="B14" s="321"/>
      <c r="C14" s="321"/>
      <c r="D14" s="321"/>
      <c r="E14" s="321"/>
    </row>
    <row r="15" spans="1:5" s="91" customFormat="1" ht="12.75" customHeight="1">
      <c r="A15" s="92" t="s">
        <v>107</v>
      </c>
      <c r="B15" s="97" t="s">
        <v>2</v>
      </c>
      <c r="C15" s="97" t="s">
        <v>158</v>
      </c>
      <c r="D15" s="97" t="s">
        <v>159</v>
      </c>
      <c r="E15" s="98" t="s">
        <v>113</v>
      </c>
    </row>
    <row r="16" spans="1:5" ht="12.75">
      <c r="A16" s="176" t="s">
        <v>108</v>
      </c>
      <c r="B16" s="48">
        <v>80</v>
      </c>
      <c r="C16" s="48">
        <v>120</v>
      </c>
      <c r="D16" s="177">
        <v>2.5</v>
      </c>
      <c r="E16" s="106">
        <f>B16*C16*D16</f>
        <v>24000</v>
      </c>
    </row>
    <row r="17" spans="1:5" ht="12.75">
      <c r="A17" s="176" t="s">
        <v>109</v>
      </c>
      <c r="B17" s="48">
        <v>60</v>
      </c>
      <c r="C17" s="48">
        <v>40</v>
      </c>
      <c r="D17" s="177">
        <v>6</v>
      </c>
      <c r="E17" s="106">
        <f>B17*C17*D17</f>
        <v>14400</v>
      </c>
    </row>
    <row r="18" spans="1:5" ht="12.75">
      <c r="A18" s="176" t="s">
        <v>110</v>
      </c>
      <c r="B18" s="48">
        <v>60</v>
      </c>
      <c r="C18" s="48">
        <v>35</v>
      </c>
      <c r="D18" s="177">
        <v>3</v>
      </c>
      <c r="E18" s="106">
        <f>B18*C18*D18</f>
        <v>6300</v>
      </c>
    </row>
    <row r="19" spans="1:5" ht="12.75">
      <c r="A19" s="176" t="s">
        <v>111</v>
      </c>
      <c r="B19" s="48">
        <v>0</v>
      </c>
      <c r="C19" s="48">
        <v>0</v>
      </c>
      <c r="D19" s="177">
        <v>0</v>
      </c>
      <c r="E19" s="106">
        <f>B19*C19*D19</f>
        <v>0</v>
      </c>
    </row>
    <row r="20" spans="1:5" ht="12.75">
      <c r="A20" s="176" t="s">
        <v>111</v>
      </c>
      <c r="B20" s="48">
        <v>0</v>
      </c>
      <c r="C20" s="48">
        <v>0</v>
      </c>
      <c r="D20" s="177">
        <v>0</v>
      </c>
      <c r="E20" s="106">
        <f>B20*C20*D20</f>
        <v>0</v>
      </c>
    </row>
    <row r="21" spans="1:2" ht="12.75">
      <c r="A21" s="93" t="s">
        <v>224</v>
      </c>
      <c r="B21" s="13">
        <f>SUM(B16:B20)</f>
        <v>200</v>
      </c>
    </row>
    <row r="22" spans="1:5" ht="12.75">
      <c r="A22" s="93" t="s">
        <v>112</v>
      </c>
      <c r="E22" s="260">
        <v>8000</v>
      </c>
    </row>
    <row r="23" spans="1:5" ht="12.75">
      <c r="A23" s="178" t="s">
        <v>113</v>
      </c>
      <c r="B23" s="14"/>
      <c r="C23" s="14"/>
      <c r="D23" s="14"/>
      <c r="E23" s="180">
        <f>SUM(E16+E17+E22)</f>
        <v>46400</v>
      </c>
    </row>
    <row r="24" spans="1:5" ht="12.75">
      <c r="A24" s="178" t="s">
        <v>114</v>
      </c>
      <c r="B24" s="14"/>
      <c r="C24" s="14"/>
      <c r="D24" s="14"/>
      <c r="E24" s="179">
        <f>E23/B21</f>
        <v>232</v>
      </c>
    </row>
    <row r="25" s="91" customFormat="1" ht="12.75">
      <c r="A25" s="95" t="s">
        <v>115</v>
      </c>
    </row>
    <row r="26" s="91" customFormat="1" ht="12.75">
      <c r="A26" s="95" t="s">
        <v>116</v>
      </c>
    </row>
    <row r="27" spans="1:3" ht="12.75">
      <c r="A27" s="300" t="s">
        <v>214</v>
      </c>
      <c r="C27" s="104">
        <v>200000</v>
      </c>
    </row>
    <row r="28" ht="12.75">
      <c r="A28" s="93" t="s">
        <v>117</v>
      </c>
    </row>
    <row r="29" spans="1:2" ht="12.75">
      <c r="A29" s="308" t="s">
        <v>193</v>
      </c>
      <c r="B29" s="104">
        <v>10000</v>
      </c>
    </row>
    <row r="30" spans="1:2" ht="25.5">
      <c r="A30" s="309" t="s">
        <v>118</v>
      </c>
      <c r="B30" s="51">
        <v>0</v>
      </c>
    </row>
    <row r="31" spans="1:2" ht="12.75">
      <c r="A31" s="308" t="s">
        <v>215</v>
      </c>
      <c r="B31" s="104">
        <v>4000</v>
      </c>
    </row>
    <row r="32" spans="1:2" ht="12.75">
      <c r="A32" s="261" t="s">
        <v>3</v>
      </c>
      <c r="B32" s="111">
        <f>B29+B30+B31</f>
        <v>14000</v>
      </c>
    </row>
    <row r="33" spans="1:3" ht="12.75">
      <c r="A33" s="310" t="s">
        <v>180</v>
      </c>
      <c r="C33" s="111">
        <f>C27-B32</f>
        <v>186000</v>
      </c>
    </row>
    <row r="34" spans="1:2" ht="12.75">
      <c r="A34" s="93" t="s">
        <v>225</v>
      </c>
      <c r="B34" s="99">
        <f>C33/B2</f>
        <v>232.5</v>
      </c>
    </row>
    <row r="35" spans="1:2" ht="38.25">
      <c r="A35" s="96" t="s">
        <v>181</v>
      </c>
      <c r="B35" s="51">
        <v>2</v>
      </c>
    </row>
    <row r="37" spans="1:3" ht="12.75">
      <c r="A37" s="311" t="s">
        <v>226</v>
      </c>
      <c r="B37" s="65"/>
      <c r="C37" s="182">
        <f>B35+B34</f>
        <v>234.5</v>
      </c>
    </row>
    <row r="39" s="91" customFormat="1" ht="12.75">
      <c r="A39" s="95" t="s">
        <v>194</v>
      </c>
    </row>
    <row r="40" ht="12.75">
      <c r="A40" s="93" t="s">
        <v>227</v>
      </c>
    </row>
    <row r="41" spans="1:3" ht="12.75">
      <c r="A41" s="318" t="s">
        <v>228</v>
      </c>
      <c r="B41" s="263">
        <v>0.05</v>
      </c>
      <c r="C41" s="113">
        <f>(B9*B41)</f>
        <v>1250</v>
      </c>
    </row>
    <row r="42" spans="1:3" ht="12.75">
      <c r="A42" s="318" t="s">
        <v>229</v>
      </c>
      <c r="B42" s="263">
        <v>0.1</v>
      </c>
      <c r="C42" s="113">
        <f>+(B10*B42)</f>
        <v>11000</v>
      </c>
    </row>
    <row r="43" spans="1:3" ht="27" customHeight="1">
      <c r="A43" s="309" t="s">
        <v>230</v>
      </c>
      <c r="B43" s="263">
        <v>0.07</v>
      </c>
      <c r="C43" s="113">
        <f>(B9+B10)*B43</f>
        <v>9450</v>
      </c>
    </row>
    <row r="44" spans="1:3" ht="12.75">
      <c r="A44" s="93" t="s">
        <v>231</v>
      </c>
      <c r="B44" s="266">
        <f>+B5</f>
        <v>20000</v>
      </c>
      <c r="C44" s="112"/>
    </row>
    <row r="45" spans="1:3" ht="12.75">
      <c r="A45" s="95" t="s">
        <v>195</v>
      </c>
      <c r="B45" s="264"/>
      <c r="C45" s="265">
        <f>SUM(B41:B44)</f>
        <v>20000.22</v>
      </c>
    </row>
    <row r="47" ht="12.75">
      <c r="A47" s="93" t="s">
        <v>4</v>
      </c>
    </row>
    <row r="48" spans="1:3" ht="38.25">
      <c r="A48" s="319" t="s">
        <v>232</v>
      </c>
      <c r="B48" s="263">
        <v>0.05</v>
      </c>
      <c r="C48" s="111">
        <f>B11*B48</f>
        <v>0</v>
      </c>
    </row>
    <row r="49" spans="1:3" ht="25.5">
      <c r="A49" s="319" t="s">
        <v>233</v>
      </c>
      <c r="B49" s="263">
        <v>0.1</v>
      </c>
      <c r="C49" s="111">
        <f>B12*B49</f>
        <v>1500</v>
      </c>
    </row>
    <row r="50" spans="1:2" ht="12.75">
      <c r="A50" s="308" t="s">
        <v>234</v>
      </c>
      <c r="B50" s="51">
        <v>2000</v>
      </c>
    </row>
    <row r="51" spans="1:3" ht="12.75">
      <c r="A51" s="93" t="s">
        <v>182</v>
      </c>
      <c r="C51" s="267">
        <f>SUM(B48:B50)</f>
        <v>2000.15</v>
      </c>
    </row>
    <row r="52" spans="1:3" ht="12.75">
      <c r="A52" s="95" t="s">
        <v>196</v>
      </c>
      <c r="B52" s="91"/>
      <c r="C52" s="262">
        <f>SUM(C45+C51)</f>
        <v>22000.370000000003</v>
      </c>
    </row>
    <row r="54" ht="12.75">
      <c r="A54" s="93" t="s">
        <v>235</v>
      </c>
    </row>
    <row r="55" spans="1:3" ht="25.5">
      <c r="A55" s="114" t="s">
        <v>238</v>
      </c>
      <c r="C55" s="99">
        <f>C52/(B2+B3)</f>
        <v>22.000370000000004</v>
      </c>
    </row>
    <row r="57" s="91" customFormat="1" ht="12.75">
      <c r="A57" s="95" t="s">
        <v>197</v>
      </c>
    </row>
    <row r="58" spans="1:3" ht="12.75">
      <c r="A58" s="181" t="s">
        <v>236</v>
      </c>
      <c r="B58" s="65"/>
      <c r="C58" s="65"/>
    </row>
    <row r="59" spans="1:3" ht="12.75">
      <c r="A59" s="268" t="s">
        <v>198</v>
      </c>
      <c r="B59" s="65"/>
      <c r="C59" s="269">
        <f>C37+C55</f>
        <v>256.50037</v>
      </c>
    </row>
    <row r="61" s="91" customFormat="1" ht="12.75">
      <c r="A61" s="95" t="s">
        <v>119</v>
      </c>
    </row>
    <row r="63" ht="12.75">
      <c r="A63" s="93" t="s">
        <v>183</v>
      </c>
    </row>
    <row r="64" spans="1:3" ht="12.75">
      <c r="A64" s="100" t="s">
        <v>237</v>
      </c>
      <c r="C64" s="271">
        <f>E24-C59</f>
        <v>-24.500369999999975</v>
      </c>
    </row>
    <row r="66" ht="12.75">
      <c r="A66" s="95" t="s">
        <v>120</v>
      </c>
    </row>
    <row r="68" ht="12.75">
      <c r="A68" s="102" t="s">
        <v>121</v>
      </c>
    </row>
    <row r="69" spans="1:4" ht="12.75">
      <c r="A69" s="100" t="s">
        <v>184</v>
      </c>
      <c r="C69" s="270">
        <f>C64/B6</f>
        <v>-4.900073999999995</v>
      </c>
      <c r="D69" s="13" t="s">
        <v>126</v>
      </c>
    </row>
    <row r="71" ht="12.75">
      <c r="A71" s="312" t="s">
        <v>122</v>
      </c>
    </row>
    <row r="72" spans="1:3" ht="12.75">
      <c r="A72" s="301" t="s">
        <v>185</v>
      </c>
      <c r="C72" s="270">
        <f>C64/(B6-B4)</f>
        <v>-4.929651911468808</v>
      </c>
    </row>
    <row r="74" spans="1:3" ht="12.75">
      <c r="A74" s="102" t="s">
        <v>123</v>
      </c>
      <c r="C74" s="103">
        <f>B7</f>
        <v>2400</v>
      </c>
    </row>
    <row r="76" ht="12.75">
      <c r="A76" s="93" t="s">
        <v>124</v>
      </c>
    </row>
    <row r="77" spans="1:3" ht="12.75">
      <c r="A77" s="93" t="s">
        <v>125</v>
      </c>
      <c r="C77" s="101">
        <f>C74-C69</f>
        <v>2404.900074</v>
      </c>
    </row>
    <row r="78" spans="1:3" ht="12.75">
      <c r="A78" s="93" t="s">
        <v>239</v>
      </c>
      <c r="C78" s="101">
        <f>C74-C72</f>
        <v>2404.9296519114687</v>
      </c>
    </row>
  </sheetData>
  <sheetProtection/>
  <printOptions/>
  <pageMargins left="0.75" right="0.6" top="1" bottom="1" header="0.5" footer="0.5"/>
  <pageSetup horizontalDpi="600" verticalDpi="600"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showGridLines="0" zoomScale="87" zoomScaleNormal="87" zoomScalePageLayoutView="0" workbookViewId="0" topLeftCell="A1">
      <selection activeCell="A21" sqref="A21"/>
    </sheetView>
  </sheetViews>
  <sheetFormatPr defaultColWidth="9.21484375" defaultRowHeight="15"/>
  <cols>
    <col min="1" max="1" width="49.10546875" style="74" customWidth="1"/>
    <col min="2" max="2" width="9.21484375" style="74" customWidth="1"/>
    <col min="3" max="3" width="5.77734375" style="74" customWidth="1"/>
    <col min="4" max="4" width="11.10546875" style="74" customWidth="1"/>
    <col min="5" max="16384" width="9.21484375" style="74" customWidth="1"/>
  </cols>
  <sheetData>
    <row r="1" spans="1:4" ht="22.5">
      <c r="A1" s="313" t="s">
        <v>218</v>
      </c>
      <c r="D1" s="188" t="s">
        <v>201</v>
      </c>
    </row>
    <row r="2" spans="1:11" ht="14.25">
      <c r="A2" s="184" t="s">
        <v>216</v>
      </c>
      <c r="D2" s="75"/>
      <c r="E2" s="75"/>
      <c r="F2" s="75"/>
      <c r="H2" s="75"/>
      <c r="I2" s="75"/>
      <c r="J2" s="75"/>
      <c r="K2" s="75"/>
    </row>
    <row r="3" spans="4:11" ht="14.25">
      <c r="D3" s="75"/>
      <c r="E3" s="75"/>
      <c r="F3" s="75"/>
      <c r="H3" s="75"/>
      <c r="I3" s="75"/>
      <c r="J3" s="75"/>
      <c r="K3" s="75"/>
    </row>
    <row r="4" spans="1:11" ht="15">
      <c r="A4" s="183" t="s">
        <v>127</v>
      </c>
      <c r="B4" s="76">
        <v>7</v>
      </c>
      <c r="D4" s="77" t="s">
        <v>132</v>
      </c>
      <c r="E4" s="78"/>
      <c r="F4" s="79"/>
      <c r="G4" s="80" t="s">
        <v>220</v>
      </c>
      <c r="H4" s="79"/>
      <c r="I4" s="79"/>
      <c r="J4" s="79"/>
      <c r="K4" s="81"/>
    </row>
    <row r="5" spans="1:11" ht="15">
      <c r="A5" s="183" t="s">
        <v>128</v>
      </c>
      <c r="B5" s="82">
        <v>100000</v>
      </c>
      <c r="D5" s="83" t="s">
        <v>133</v>
      </c>
      <c r="E5" s="84">
        <f>F5-10</f>
        <v>170</v>
      </c>
      <c r="F5" s="85">
        <f>G5-10</f>
        <v>180</v>
      </c>
      <c r="G5" s="85">
        <f>H5-10</f>
        <v>190</v>
      </c>
      <c r="H5" s="85">
        <f>$B$10</f>
        <v>200</v>
      </c>
      <c r="I5" s="85">
        <f>H5+10</f>
        <v>210</v>
      </c>
      <c r="J5" s="85">
        <f>I5+10</f>
        <v>220</v>
      </c>
      <c r="K5" s="85">
        <f>J5+10</f>
        <v>230</v>
      </c>
    </row>
    <row r="6" spans="1:11" ht="15">
      <c r="A6" s="183" t="s">
        <v>199</v>
      </c>
      <c r="B6" s="76">
        <v>20</v>
      </c>
      <c r="D6" s="85">
        <f>D7-100</f>
        <v>1600</v>
      </c>
      <c r="E6" s="86">
        <f aca="true" t="shared" si="0" ref="E6:K14">(+E$5-($B$8+$B$9))*($B$7/100)-PMT($B$4/100,$B$6,-($D6))</f>
        <v>-124.02868118920912</v>
      </c>
      <c r="F6" s="86">
        <f t="shared" si="0"/>
        <v>-114.02868118920912</v>
      </c>
      <c r="G6" s="86">
        <f t="shared" si="0"/>
        <v>-104.02868118920912</v>
      </c>
      <c r="H6" s="86">
        <f t="shared" si="0"/>
        <v>-94.02868118920912</v>
      </c>
      <c r="I6" s="86">
        <f t="shared" si="0"/>
        <v>-84.02868118920912</v>
      </c>
      <c r="J6" s="86">
        <f t="shared" si="0"/>
        <v>-74.02868118920912</v>
      </c>
      <c r="K6" s="86">
        <f t="shared" si="0"/>
        <v>-64.02868118920912</v>
      </c>
    </row>
    <row r="7" spans="1:11" ht="15">
      <c r="A7" s="183" t="s">
        <v>200</v>
      </c>
      <c r="B7" s="89">
        <v>100</v>
      </c>
      <c r="D7" s="85">
        <f>D8-100</f>
        <v>1700</v>
      </c>
      <c r="E7" s="86">
        <f t="shared" si="0"/>
        <v>-133.46797376353467</v>
      </c>
      <c r="F7" s="86">
        <f t="shared" si="0"/>
        <v>-123.46797376353467</v>
      </c>
      <c r="G7" s="86">
        <f t="shared" si="0"/>
        <v>-113.46797376353467</v>
      </c>
      <c r="H7" s="86">
        <f t="shared" si="0"/>
        <v>-103.46797376353467</v>
      </c>
      <c r="I7" s="86">
        <f t="shared" si="0"/>
        <v>-93.46797376353467</v>
      </c>
      <c r="J7" s="86">
        <f t="shared" si="0"/>
        <v>-83.46797376353467</v>
      </c>
      <c r="K7" s="86">
        <f t="shared" si="0"/>
        <v>-73.46797376353467</v>
      </c>
    </row>
    <row r="8" spans="1:11" ht="15">
      <c r="A8" s="183" t="s">
        <v>129</v>
      </c>
      <c r="B8" s="87">
        <v>120</v>
      </c>
      <c r="D8" s="85">
        <f>D9-100</f>
        <v>1800</v>
      </c>
      <c r="E8" s="86">
        <f t="shared" si="0"/>
        <v>-142.90726633786025</v>
      </c>
      <c r="F8" s="86">
        <f t="shared" si="0"/>
        <v>-132.90726633786025</v>
      </c>
      <c r="G8" s="86">
        <f t="shared" si="0"/>
        <v>-122.90726633786025</v>
      </c>
      <c r="H8" s="86">
        <f t="shared" si="0"/>
        <v>-112.90726633786025</v>
      </c>
      <c r="I8" s="86">
        <f t="shared" si="0"/>
        <v>-102.90726633786025</v>
      </c>
      <c r="J8" s="86">
        <f t="shared" si="0"/>
        <v>-92.90726633786025</v>
      </c>
      <c r="K8" s="86">
        <f t="shared" si="0"/>
        <v>-82.90726633786025</v>
      </c>
    </row>
    <row r="9" spans="1:11" ht="15">
      <c r="A9" s="183" t="s">
        <v>186</v>
      </c>
      <c r="B9" s="87">
        <v>23</v>
      </c>
      <c r="D9" s="85">
        <f>D10-100</f>
        <v>1900</v>
      </c>
      <c r="E9" s="86">
        <f t="shared" si="0"/>
        <v>-152.34655891218583</v>
      </c>
      <c r="F9" s="86">
        <f t="shared" si="0"/>
        <v>-142.34655891218583</v>
      </c>
      <c r="G9" s="86">
        <f t="shared" si="0"/>
        <v>-132.34655891218583</v>
      </c>
      <c r="H9" s="86">
        <f t="shared" si="0"/>
        <v>-122.34655891218583</v>
      </c>
      <c r="I9" s="86">
        <f t="shared" si="0"/>
        <v>-112.34655891218583</v>
      </c>
      <c r="J9" s="86">
        <f t="shared" si="0"/>
        <v>-102.34655891218583</v>
      </c>
      <c r="K9" s="86">
        <f t="shared" si="0"/>
        <v>-92.34655891218583</v>
      </c>
    </row>
    <row r="10" spans="1:11" ht="26.25">
      <c r="A10" s="320" t="s">
        <v>217</v>
      </c>
      <c r="B10" s="87">
        <v>200</v>
      </c>
      <c r="D10" s="85">
        <f>$B$12</f>
        <v>2000</v>
      </c>
      <c r="E10" s="86">
        <f t="shared" si="0"/>
        <v>-161.78585148651138</v>
      </c>
      <c r="F10" s="86">
        <f t="shared" si="0"/>
        <v>-151.78585148651138</v>
      </c>
      <c r="G10" s="86">
        <f t="shared" si="0"/>
        <v>-141.78585148651138</v>
      </c>
      <c r="H10" s="86">
        <f t="shared" si="0"/>
        <v>-131.78585148651138</v>
      </c>
      <c r="I10" s="86">
        <f t="shared" si="0"/>
        <v>-121.78585148651138</v>
      </c>
      <c r="J10" s="86">
        <f t="shared" si="0"/>
        <v>-111.78585148651138</v>
      </c>
      <c r="K10" s="86">
        <f t="shared" si="0"/>
        <v>-101.78585148651138</v>
      </c>
    </row>
    <row r="11" spans="1:11" ht="15">
      <c r="A11" s="183" t="s">
        <v>130</v>
      </c>
      <c r="B11" s="76">
        <v>100</v>
      </c>
      <c r="D11" s="85">
        <f>D10+100</f>
        <v>2100</v>
      </c>
      <c r="E11" s="86">
        <f t="shared" si="0"/>
        <v>-171.22514406083695</v>
      </c>
      <c r="F11" s="86">
        <f t="shared" si="0"/>
        <v>-161.22514406083695</v>
      </c>
      <c r="G11" s="86">
        <f t="shared" si="0"/>
        <v>-151.22514406083695</v>
      </c>
      <c r="H11" s="86">
        <f t="shared" si="0"/>
        <v>-141.22514406083695</v>
      </c>
      <c r="I11" s="86">
        <f t="shared" si="0"/>
        <v>-131.22514406083695</v>
      </c>
      <c r="J11" s="86">
        <f t="shared" si="0"/>
        <v>-121.22514406083695</v>
      </c>
      <c r="K11" s="86">
        <f t="shared" si="0"/>
        <v>-111.22514406083695</v>
      </c>
    </row>
    <row r="12" spans="1:11" ht="15">
      <c r="A12" s="183" t="s">
        <v>131</v>
      </c>
      <c r="B12" s="87">
        <v>2000</v>
      </c>
      <c r="D12" s="85">
        <f>D11+100</f>
        <v>2200</v>
      </c>
      <c r="E12" s="86">
        <f t="shared" si="0"/>
        <v>-180.66443663516253</v>
      </c>
      <c r="F12" s="86">
        <f t="shared" si="0"/>
        <v>-170.66443663516253</v>
      </c>
      <c r="G12" s="86">
        <f t="shared" si="0"/>
        <v>-160.66443663516253</v>
      </c>
      <c r="H12" s="86">
        <f t="shared" si="0"/>
        <v>-150.66443663516253</v>
      </c>
      <c r="I12" s="86">
        <f t="shared" si="0"/>
        <v>-140.66443663516253</v>
      </c>
      <c r="J12" s="86">
        <f t="shared" si="0"/>
        <v>-130.66443663516253</v>
      </c>
      <c r="K12" s="86">
        <f t="shared" si="0"/>
        <v>-120.66443663516253</v>
      </c>
    </row>
    <row r="13" spans="1:11" ht="15">
      <c r="A13" s="314" t="s">
        <v>163</v>
      </c>
      <c r="B13" s="185">
        <f>((($B$10-($B$8+$B$9))*$B$11)*($B$7/100)-PMT($B$4/100,$B$6,-($B$5)))</f>
        <v>-3739.292574325571</v>
      </c>
      <c r="D13" s="85">
        <f>D12+100</f>
        <v>2300</v>
      </c>
      <c r="E13" s="86">
        <f t="shared" si="0"/>
        <v>-190.1037292094881</v>
      </c>
      <c r="F13" s="86">
        <f t="shared" si="0"/>
        <v>-180.1037292094881</v>
      </c>
      <c r="G13" s="86">
        <f t="shared" si="0"/>
        <v>-170.1037292094881</v>
      </c>
      <c r="H13" s="86">
        <f t="shared" si="0"/>
        <v>-160.1037292094881</v>
      </c>
      <c r="I13" s="86">
        <f t="shared" si="0"/>
        <v>-150.1037292094881</v>
      </c>
      <c r="J13" s="86">
        <f t="shared" si="0"/>
        <v>-140.1037292094881</v>
      </c>
      <c r="K13" s="86">
        <f t="shared" si="0"/>
        <v>-130.1037292094881</v>
      </c>
    </row>
    <row r="14" spans="1:11" ht="15">
      <c r="A14" s="314" t="s">
        <v>160</v>
      </c>
      <c r="B14" s="185">
        <f>(($B$10-($B$8+$B$9))*$B$11)*($B$7/100)-PMT($B$4/100,$B$6,-($B$11*$B$12))</f>
        <v>-13178.585148651142</v>
      </c>
      <c r="D14" s="85">
        <f>D13+100</f>
        <v>2400</v>
      </c>
      <c r="E14" s="86">
        <f t="shared" si="0"/>
        <v>-199.54302178381366</v>
      </c>
      <c r="F14" s="86">
        <f t="shared" si="0"/>
        <v>-189.54302178381366</v>
      </c>
      <c r="G14" s="86">
        <f t="shared" si="0"/>
        <v>-179.54302178381366</v>
      </c>
      <c r="H14" s="86">
        <f t="shared" si="0"/>
        <v>-169.54302178381366</v>
      </c>
      <c r="I14" s="86">
        <f t="shared" si="0"/>
        <v>-159.54302178381366</v>
      </c>
      <c r="J14" s="86">
        <f t="shared" si="0"/>
        <v>-149.54302178381366</v>
      </c>
      <c r="K14" s="86">
        <f t="shared" si="0"/>
        <v>-139.54302178381366</v>
      </c>
    </row>
    <row r="15" spans="1:2" ht="14.25">
      <c r="A15" s="315" t="s">
        <v>161</v>
      </c>
      <c r="B15" s="186">
        <f>(($B$10-$B$8)*$B$11)*($B$7/100)-PMT($B$4/100,$B$6,-($B$5))</f>
        <v>-1439.292574325571</v>
      </c>
    </row>
    <row r="16" spans="1:4" ht="14.25">
      <c r="A16" s="316" t="s">
        <v>219</v>
      </c>
      <c r="B16" s="187"/>
      <c r="D16" s="74" t="s">
        <v>134</v>
      </c>
    </row>
    <row r="17" ht="12.75">
      <c r="E17" s="88" t="s">
        <v>187</v>
      </c>
    </row>
    <row r="18" ht="12.75">
      <c r="E18" s="296" t="s">
        <v>135</v>
      </c>
    </row>
    <row r="20" ht="15.75">
      <c r="D20" s="188" t="s">
        <v>164</v>
      </c>
    </row>
    <row r="21" spans="6:11" ht="14.25">
      <c r="F21" s="75"/>
      <c r="G21" s="75"/>
      <c r="H21" s="75"/>
      <c r="I21" s="75"/>
      <c r="J21" s="75"/>
      <c r="K21" s="75"/>
    </row>
    <row r="22" spans="4:11" ht="15">
      <c r="D22" s="193" t="s">
        <v>136</v>
      </c>
      <c r="E22" s="190"/>
      <c r="F22" s="190"/>
      <c r="G22" s="190"/>
      <c r="H22" s="190"/>
      <c r="I22" s="190"/>
      <c r="J22" s="190"/>
      <c r="K22" s="191"/>
    </row>
    <row r="23" spans="4:11" ht="15">
      <c r="D23" s="194" t="s">
        <v>137</v>
      </c>
      <c r="E23" s="189"/>
      <c r="F23" s="189"/>
      <c r="G23" s="317" t="s">
        <v>220</v>
      </c>
      <c r="H23" s="189"/>
      <c r="I23" s="189"/>
      <c r="J23" s="189"/>
      <c r="K23" s="192"/>
    </row>
    <row r="24" spans="4:11" ht="15">
      <c r="D24" s="195" t="s">
        <v>138</v>
      </c>
      <c r="E24" s="84">
        <f>F24-10</f>
        <v>170</v>
      </c>
      <c r="F24" s="85">
        <f>G24-10</f>
        <v>180</v>
      </c>
      <c r="G24" s="85">
        <f>H24-10</f>
        <v>190</v>
      </c>
      <c r="H24" s="85">
        <f>$B$10</f>
        <v>200</v>
      </c>
      <c r="I24" s="85">
        <f>H24+10</f>
        <v>210</v>
      </c>
      <c r="J24" s="85">
        <f>I24+10</f>
        <v>220</v>
      </c>
      <c r="K24" s="85">
        <f>J24+10</f>
        <v>230</v>
      </c>
    </row>
    <row r="25" spans="4:11" ht="15">
      <c r="D25" s="85">
        <f>IF($D$28&gt;300,+D26-100,0)</f>
        <v>600</v>
      </c>
      <c r="E25" s="86">
        <f aca="true" t="shared" si="1" ref="E25:K33">(+E$5-$B$8)*($B$7/100)-PMT($B$4/100,$B$6,-($D25))</f>
        <v>-6.635755445953414</v>
      </c>
      <c r="F25" s="86">
        <f t="shared" si="1"/>
        <v>3.3642445540465857</v>
      </c>
      <c r="G25" s="86">
        <f t="shared" si="1"/>
        <v>13.364244554046586</v>
      </c>
      <c r="H25" s="86">
        <f t="shared" si="1"/>
        <v>23.364244554046586</v>
      </c>
      <c r="I25" s="86">
        <f t="shared" si="1"/>
        <v>33.364244554046586</v>
      </c>
      <c r="J25" s="86">
        <f t="shared" si="1"/>
        <v>43.364244554046586</v>
      </c>
      <c r="K25" s="86">
        <f t="shared" si="1"/>
        <v>53.364244554046586</v>
      </c>
    </row>
    <row r="26" spans="4:11" ht="15">
      <c r="D26" s="85">
        <f>IF($D$28&gt;200,+D27-100,0)</f>
        <v>700</v>
      </c>
      <c r="E26" s="86">
        <f t="shared" si="1"/>
        <v>-16.075048020278984</v>
      </c>
      <c r="F26" s="86">
        <f t="shared" si="1"/>
        <v>-6.0750480202789845</v>
      </c>
      <c r="G26" s="86">
        <f t="shared" si="1"/>
        <v>3.9249519797210155</v>
      </c>
      <c r="H26" s="86">
        <f t="shared" si="1"/>
        <v>13.924951979721016</v>
      </c>
      <c r="I26" s="86">
        <f t="shared" si="1"/>
        <v>23.924951979721016</v>
      </c>
      <c r="J26" s="86">
        <f t="shared" si="1"/>
        <v>33.924951979721016</v>
      </c>
      <c r="K26" s="86">
        <f t="shared" si="1"/>
        <v>43.924951979721016</v>
      </c>
    </row>
    <row r="27" spans="4:11" ht="15">
      <c r="D27" s="85">
        <f>IF(D28&gt;100,+D28-100,0)</f>
        <v>800</v>
      </c>
      <c r="E27" s="86">
        <f t="shared" si="1"/>
        <v>-25.514340594604562</v>
      </c>
      <c r="F27" s="86">
        <f t="shared" si="1"/>
        <v>-15.514340594604562</v>
      </c>
      <c r="G27" s="86">
        <f t="shared" si="1"/>
        <v>-5.514340594604562</v>
      </c>
      <c r="H27" s="86">
        <f t="shared" si="1"/>
        <v>4.485659405395438</v>
      </c>
      <c r="I27" s="86">
        <f t="shared" si="1"/>
        <v>14.485659405395438</v>
      </c>
      <c r="J27" s="86">
        <f t="shared" si="1"/>
        <v>24.485659405395438</v>
      </c>
      <c r="K27" s="86">
        <f t="shared" si="1"/>
        <v>34.48565940539544</v>
      </c>
    </row>
    <row r="28" spans="4:11" ht="15">
      <c r="D28" s="85">
        <f>IF(D29&gt;0,D29-100,0)</f>
        <v>900</v>
      </c>
      <c r="E28" s="86">
        <f t="shared" si="1"/>
        <v>-34.953633168930125</v>
      </c>
      <c r="F28" s="86">
        <f t="shared" si="1"/>
        <v>-24.953633168930125</v>
      </c>
      <c r="G28" s="86">
        <f t="shared" si="1"/>
        <v>-14.953633168930125</v>
      </c>
      <c r="H28" s="86">
        <f t="shared" si="1"/>
        <v>-4.953633168930125</v>
      </c>
      <c r="I28" s="86">
        <f t="shared" si="1"/>
        <v>5.046366831069875</v>
      </c>
      <c r="J28" s="86">
        <f t="shared" si="1"/>
        <v>15.046366831069875</v>
      </c>
      <c r="K28" s="86">
        <f t="shared" si="1"/>
        <v>25.046366831069875</v>
      </c>
    </row>
    <row r="29" spans="4:11" ht="15">
      <c r="D29" s="85">
        <f>$B$5/B11</f>
        <v>1000</v>
      </c>
      <c r="E29" s="86">
        <f t="shared" si="1"/>
        <v>-44.39292574325569</v>
      </c>
      <c r="F29" s="86">
        <f t="shared" si="1"/>
        <v>-34.39292574325569</v>
      </c>
      <c r="G29" s="86">
        <f t="shared" si="1"/>
        <v>-24.392925743255688</v>
      </c>
      <c r="H29" s="86">
        <f t="shared" si="1"/>
        <v>-14.392925743255688</v>
      </c>
      <c r="I29" s="86">
        <f t="shared" si="1"/>
        <v>-4.392925743255688</v>
      </c>
      <c r="J29" s="86">
        <f t="shared" si="1"/>
        <v>5.607074256744312</v>
      </c>
      <c r="K29" s="86">
        <f t="shared" si="1"/>
        <v>15.607074256744312</v>
      </c>
    </row>
    <row r="30" spans="4:11" ht="15">
      <c r="D30" s="85">
        <f>D29+100</f>
        <v>1100</v>
      </c>
      <c r="E30" s="86">
        <f t="shared" si="1"/>
        <v>-53.832218317581265</v>
      </c>
      <c r="F30" s="86">
        <f t="shared" si="1"/>
        <v>-43.832218317581265</v>
      </c>
      <c r="G30" s="86">
        <f t="shared" si="1"/>
        <v>-33.832218317581265</v>
      </c>
      <c r="H30" s="86">
        <f t="shared" si="1"/>
        <v>-23.832218317581265</v>
      </c>
      <c r="I30" s="86">
        <f t="shared" si="1"/>
        <v>-13.832218317581265</v>
      </c>
      <c r="J30" s="86">
        <f t="shared" si="1"/>
        <v>-3.8322183175812654</v>
      </c>
      <c r="K30" s="86">
        <f t="shared" si="1"/>
        <v>6.167781682418735</v>
      </c>
    </row>
    <row r="31" spans="4:11" ht="15">
      <c r="D31" s="85">
        <f>D30+100</f>
        <v>1200</v>
      </c>
      <c r="E31" s="86">
        <f t="shared" si="1"/>
        <v>-63.27151089190683</v>
      </c>
      <c r="F31" s="86">
        <f t="shared" si="1"/>
        <v>-53.27151089190683</v>
      </c>
      <c r="G31" s="86">
        <f t="shared" si="1"/>
        <v>-43.27151089190683</v>
      </c>
      <c r="H31" s="86">
        <f t="shared" si="1"/>
        <v>-33.27151089190683</v>
      </c>
      <c r="I31" s="86">
        <f t="shared" si="1"/>
        <v>-23.27151089190683</v>
      </c>
      <c r="J31" s="86">
        <f t="shared" si="1"/>
        <v>-13.271510891906829</v>
      </c>
      <c r="K31" s="86">
        <f t="shared" si="1"/>
        <v>-3.2715108919068285</v>
      </c>
    </row>
    <row r="32" spans="4:11" ht="15">
      <c r="D32" s="85">
        <f>D31+100</f>
        <v>1300</v>
      </c>
      <c r="E32" s="86">
        <f t="shared" si="1"/>
        <v>-72.7108034662324</v>
      </c>
      <c r="F32" s="86">
        <f t="shared" si="1"/>
        <v>-62.710803466232406</v>
      </c>
      <c r="G32" s="86">
        <f t="shared" si="1"/>
        <v>-52.710803466232406</v>
      </c>
      <c r="H32" s="86">
        <f t="shared" si="1"/>
        <v>-42.710803466232406</v>
      </c>
      <c r="I32" s="86">
        <f t="shared" si="1"/>
        <v>-32.710803466232406</v>
      </c>
      <c r="J32" s="86">
        <f t="shared" si="1"/>
        <v>-22.710803466232406</v>
      </c>
      <c r="K32" s="86">
        <f t="shared" si="1"/>
        <v>-12.710803466232406</v>
      </c>
    </row>
    <row r="33" spans="4:11" ht="15">
      <c r="D33" s="85">
        <f>D32+100</f>
        <v>1400</v>
      </c>
      <c r="E33" s="86">
        <f t="shared" si="1"/>
        <v>-82.15009604055797</v>
      </c>
      <c r="F33" s="86">
        <f t="shared" si="1"/>
        <v>-72.15009604055797</v>
      </c>
      <c r="G33" s="86">
        <f t="shared" si="1"/>
        <v>-62.15009604055797</v>
      </c>
      <c r="H33" s="86">
        <f t="shared" si="1"/>
        <v>-52.15009604055797</v>
      </c>
      <c r="I33" s="86">
        <f t="shared" si="1"/>
        <v>-42.15009604055797</v>
      </c>
      <c r="J33" s="86">
        <f t="shared" si="1"/>
        <v>-32.15009604055797</v>
      </c>
      <c r="K33" s="86">
        <f t="shared" si="1"/>
        <v>-22.15009604055797</v>
      </c>
    </row>
    <row r="35" ht="12.75">
      <c r="D35" s="74" t="s">
        <v>139</v>
      </c>
    </row>
    <row r="36" ht="12.75">
      <c r="E36" s="88" t="s">
        <v>165</v>
      </c>
    </row>
    <row r="37" ht="12.75">
      <c r="E37" s="296" t="s">
        <v>166</v>
      </c>
    </row>
  </sheetData>
  <sheetProtection/>
  <printOptions/>
  <pageMargins left="0.36" right="0.77" top="1" bottom="1" header="0.5" footer="0.5"/>
  <pageSetup horizontalDpi="600" verticalDpi="600" orientation="landscape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="90" zoomScaleNormal="90" zoomScalePageLayoutView="0" workbookViewId="0" topLeftCell="A1">
      <selection activeCell="J17" sqref="J17"/>
    </sheetView>
  </sheetViews>
  <sheetFormatPr defaultColWidth="8.88671875" defaultRowHeight="15"/>
  <cols>
    <col min="1" max="1" width="41.3359375" style="0" customWidth="1"/>
    <col min="2" max="2" width="10.21484375" style="0" customWidth="1"/>
    <col min="3" max="3" width="7.10546875" style="0" customWidth="1"/>
    <col min="4" max="4" width="12.88671875" style="0" customWidth="1"/>
    <col min="5" max="5" width="5.21484375" style="0" customWidth="1"/>
    <col min="6" max="6" width="6.88671875" style="0" customWidth="1"/>
    <col min="7" max="7" width="20.21484375" style="0" customWidth="1"/>
    <col min="8" max="11" width="10.6640625" style="0" customWidth="1"/>
  </cols>
  <sheetData>
    <row r="1" spans="1:5" ht="102">
      <c r="A1" s="330" t="s">
        <v>143</v>
      </c>
      <c r="B1" s="330"/>
      <c r="C1" s="330"/>
      <c r="D1" s="330"/>
      <c r="E1" s="330"/>
    </row>
    <row r="2" spans="1:5" ht="15.75" customHeight="1" thickBot="1">
      <c r="A2" s="251" t="s">
        <v>142</v>
      </c>
      <c r="B2" s="252" t="s">
        <v>144</v>
      </c>
      <c r="C2" s="253"/>
      <c r="D2" s="65" t="s">
        <v>145</v>
      </c>
      <c r="E2" s="18"/>
    </row>
    <row r="3" spans="1:5" ht="15.75" thickBot="1">
      <c r="A3" s="105" t="s">
        <v>44</v>
      </c>
      <c r="B3" s="115">
        <v>100</v>
      </c>
      <c r="D3" s="199"/>
      <c r="E3" s="18"/>
    </row>
    <row r="4" spans="1:5" ht="15.75" thickBot="1">
      <c r="A4" s="105" t="s">
        <v>45</v>
      </c>
      <c r="B4" s="115">
        <v>2000</v>
      </c>
      <c r="D4" s="199"/>
      <c r="E4" s="18"/>
    </row>
    <row r="5" spans="1:5" ht="15.75" thickBot="1">
      <c r="A5" s="105" t="s">
        <v>146</v>
      </c>
      <c r="B5" s="115">
        <f>B3*B4</f>
        <v>200000</v>
      </c>
      <c r="D5" s="199"/>
      <c r="E5" s="18"/>
    </row>
    <row r="6" spans="1:5" ht="16.5" thickBot="1">
      <c r="A6" s="105" t="s">
        <v>147</v>
      </c>
      <c r="B6" s="104">
        <v>25000</v>
      </c>
      <c r="C6" s="10" t="s">
        <v>5</v>
      </c>
      <c r="D6" s="199"/>
      <c r="E6" s="10" t="s">
        <v>5</v>
      </c>
    </row>
    <row r="7" spans="1:5" ht="15.75" thickBot="1">
      <c r="A7" s="173" t="s">
        <v>52</v>
      </c>
      <c r="D7" s="13"/>
      <c r="E7" s="151"/>
    </row>
    <row r="8" spans="1:6" ht="15.75" thickBot="1">
      <c r="A8" s="156" t="s">
        <v>148</v>
      </c>
      <c r="B8" s="115">
        <v>100000</v>
      </c>
      <c r="C8" s="2"/>
      <c r="D8" s="200"/>
      <c r="E8" s="155"/>
      <c r="F8" s="52"/>
    </row>
    <row r="9" spans="1:6" ht="15.75" thickBot="1">
      <c r="A9" s="105" t="s">
        <v>54</v>
      </c>
      <c r="B9" s="115">
        <v>100000</v>
      </c>
      <c r="C9" s="2"/>
      <c r="D9" s="200"/>
      <c r="E9" s="155"/>
      <c r="F9" s="52"/>
    </row>
    <row r="10" spans="1:6" ht="15">
      <c r="A10" s="105"/>
      <c r="B10" s="48"/>
      <c r="C10" s="2"/>
      <c r="D10" s="13"/>
      <c r="F10" s="52"/>
    </row>
    <row r="11" spans="1:6" ht="16.5" thickBot="1">
      <c r="A11" s="249" t="s">
        <v>149</v>
      </c>
      <c r="B11" s="64"/>
      <c r="C11" s="161"/>
      <c r="D11" s="65"/>
      <c r="F11" s="52"/>
    </row>
    <row r="12" spans="1:6" ht="26.25" thickBot="1">
      <c r="A12" s="159" t="s">
        <v>188</v>
      </c>
      <c r="B12" s="158">
        <v>250000</v>
      </c>
      <c r="C12" s="2"/>
      <c r="D12" s="200"/>
      <c r="F12" s="52"/>
    </row>
    <row r="13" spans="1:6" ht="15.75" thickBot="1">
      <c r="A13" s="105" t="s">
        <v>55</v>
      </c>
      <c r="B13" s="115">
        <v>50000</v>
      </c>
      <c r="C13" s="2"/>
      <c r="D13" s="201"/>
      <c r="F13" s="52"/>
    </row>
    <row r="14" spans="1:6" ht="16.5" thickBot="1">
      <c r="A14" s="173" t="s">
        <v>150</v>
      </c>
      <c r="B14" s="118">
        <f>B12+B13</f>
        <v>300000</v>
      </c>
      <c r="C14" s="10" t="s">
        <v>7</v>
      </c>
      <c r="D14" s="199"/>
      <c r="E14" s="10" t="s">
        <v>7</v>
      </c>
      <c r="F14" s="52"/>
    </row>
    <row r="15" spans="1:6" ht="15">
      <c r="A15" s="13"/>
      <c r="B15" s="115"/>
      <c r="C15" s="13"/>
      <c r="D15" s="13"/>
      <c r="F15" s="52"/>
    </row>
    <row r="16" spans="1:6" ht="16.5" thickBot="1">
      <c r="A16" s="250" t="s">
        <v>202</v>
      </c>
      <c r="B16" s="116"/>
      <c r="C16" s="63"/>
      <c r="D16" s="63"/>
      <c r="F16" s="52"/>
    </row>
    <row r="17" spans="1:6" ht="24.75" thickBot="1">
      <c r="A17" s="297" t="s">
        <v>151</v>
      </c>
      <c r="B17" s="115">
        <v>180000</v>
      </c>
      <c r="C17" s="13"/>
      <c r="D17" s="200"/>
      <c r="F17" s="52"/>
    </row>
    <row r="18" spans="1:6" ht="15.75" thickBot="1">
      <c r="A18" s="298" t="s">
        <v>240</v>
      </c>
      <c r="B18" s="115">
        <v>30000</v>
      </c>
      <c r="C18" s="13"/>
      <c r="D18" s="200"/>
      <c r="F18" s="52"/>
    </row>
    <row r="19" spans="1:6" ht="15.75" thickBot="1">
      <c r="A19" s="105" t="s">
        <v>152</v>
      </c>
      <c r="B19" s="117">
        <f>B8*0.1</f>
        <v>10000</v>
      </c>
      <c r="C19" s="13"/>
      <c r="D19" s="200"/>
      <c r="F19" s="52"/>
    </row>
    <row r="20" spans="1:6" ht="15.75" thickBot="1">
      <c r="A20" s="105" t="s">
        <v>58</v>
      </c>
      <c r="B20" s="117">
        <f>B9*0.05</f>
        <v>5000</v>
      </c>
      <c r="C20" s="13"/>
      <c r="D20" s="200"/>
      <c r="F20" s="52"/>
    </row>
    <row r="21" spans="1:6" ht="15.75" thickBot="1">
      <c r="A21" s="105" t="s">
        <v>189</v>
      </c>
      <c r="B21" s="115">
        <v>30000</v>
      </c>
      <c r="C21" s="13"/>
      <c r="D21" s="200"/>
      <c r="F21" s="52"/>
    </row>
    <row r="22" spans="1:6" ht="15.75" thickBot="1">
      <c r="A22" s="105" t="s">
        <v>153</v>
      </c>
      <c r="B22" s="115">
        <v>5000</v>
      </c>
      <c r="C22" s="13"/>
      <c r="D22" s="200"/>
      <c r="F22" s="52"/>
    </row>
    <row r="23" spans="1:6" ht="26.25" thickBot="1">
      <c r="A23" s="160" t="s">
        <v>178</v>
      </c>
      <c r="B23" s="246">
        <v>0</v>
      </c>
      <c r="C23" s="13"/>
      <c r="D23" s="200"/>
      <c r="F23" s="52"/>
    </row>
    <row r="24" spans="1:6" ht="16.5" thickBot="1">
      <c r="A24" s="284" t="s">
        <v>60</v>
      </c>
      <c r="B24" s="169">
        <f>SUM(B17:B23)</f>
        <v>260000</v>
      </c>
      <c r="C24" s="11" t="s">
        <v>6</v>
      </c>
      <c r="D24" s="247"/>
      <c r="E24" s="11" t="s">
        <v>6</v>
      </c>
      <c r="F24" s="52"/>
    </row>
    <row r="25" spans="1:6" ht="15.75">
      <c r="A25" s="244"/>
      <c r="B25" s="169"/>
      <c r="C25" s="11"/>
      <c r="D25" s="69"/>
      <c r="E25" s="11"/>
      <c r="F25" s="52"/>
    </row>
    <row r="26" spans="1:6" ht="16.5" thickBot="1">
      <c r="A26" s="249" t="s">
        <v>154</v>
      </c>
      <c r="B26" s="116"/>
      <c r="C26" s="162"/>
      <c r="D26" s="65"/>
      <c r="E26" s="11"/>
      <c r="F26" s="52"/>
    </row>
    <row r="27" spans="1:6" ht="16.5" thickBot="1">
      <c r="A27" s="304" t="s">
        <v>190</v>
      </c>
      <c r="B27" s="171">
        <v>0.25</v>
      </c>
      <c r="C27" s="11" t="s">
        <v>8</v>
      </c>
      <c r="D27" s="199"/>
      <c r="E27" s="11" t="s">
        <v>8</v>
      </c>
      <c r="F27" s="52"/>
    </row>
    <row r="28" spans="1:6" ht="16.5" thickBot="1">
      <c r="A28" s="105" t="s">
        <v>155</v>
      </c>
      <c r="B28" s="117">
        <f>B14-B24</f>
        <v>40000</v>
      </c>
      <c r="C28" s="10" t="s">
        <v>9</v>
      </c>
      <c r="D28" s="199"/>
      <c r="E28" s="10" t="s">
        <v>9</v>
      </c>
      <c r="F28" s="52"/>
    </row>
    <row r="29" spans="1:6" ht="16.5" thickBot="1">
      <c r="A29" s="173" t="s">
        <v>156</v>
      </c>
      <c r="B29" s="117">
        <f>B28*B27</f>
        <v>10000</v>
      </c>
      <c r="C29" s="10" t="s">
        <v>10</v>
      </c>
      <c r="D29" s="199"/>
      <c r="E29" s="10" t="s">
        <v>10</v>
      </c>
      <c r="F29" s="52"/>
    </row>
    <row r="30" spans="1:6" ht="16.5" thickBot="1">
      <c r="A30" s="105" t="s">
        <v>63</v>
      </c>
      <c r="B30" s="117">
        <f>B28-B29</f>
        <v>30000</v>
      </c>
      <c r="C30" s="10" t="s">
        <v>11</v>
      </c>
      <c r="D30" s="199"/>
      <c r="E30" s="10" t="s">
        <v>11</v>
      </c>
      <c r="F30" s="52"/>
    </row>
    <row r="31" spans="1:6" ht="15.75">
      <c r="A31" s="167"/>
      <c r="B31" s="168"/>
      <c r="C31" s="10"/>
      <c r="D31" s="13"/>
      <c r="F31" s="52"/>
    </row>
    <row r="32" spans="1:6" ht="16.5" thickBot="1">
      <c r="A32" s="248" t="s">
        <v>192</v>
      </c>
      <c r="B32" s="117"/>
      <c r="C32" s="10"/>
      <c r="D32" s="13"/>
      <c r="F32" s="52"/>
    </row>
    <row r="33" spans="1:6" ht="16.5" thickBot="1">
      <c r="A33" s="105" t="s">
        <v>65</v>
      </c>
      <c r="B33" s="163">
        <v>0.1098</v>
      </c>
      <c r="C33" s="10" t="s">
        <v>12</v>
      </c>
      <c r="D33" s="199"/>
      <c r="E33" s="10" t="s">
        <v>12</v>
      </c>
      <c r="F33" s="52"/>
    </row>
    <row r="34" spans="1:6" ht="16.5" thickBot="1">
      <c r="A34" s="105" t="s">
        <v>241</v>
      </c>
      <c r="B34" s="117">
        <f>B30/B33</f>
        <v>273224.043715847</v>
      </c>
      <c r="C34" s="10" t="s">
        <v>13</v>
      </c>
      <c r="D34" s="200"/>
      <c r="E34" s="10" t="s">
        <v>13</v>
      </c>
      <c r="F34" s="52"/>
    </row>
    <row r="35" spans="1:6" ht="16.5" thickBot="1">
      <c r="A35" s="105" t="s">
        <v>157</v>
      </c>
      <c r="B35" s="117">
        <f>B34+B6</f>
        <v>298224.043715847</v>
      </c>
      <c r="C35" s="10" t="s">
        <v>14</v>
      </c>
      <c r="D35" s="199"/>
      <c r="E35" s="10" t="s">
        <v>14</v>
      </c>
      <c r="F35" s="52"/>
    </row>
    <row r="36" spans="1:4" ht="15.75">
      <c r="A36" s="174"/>
      <c r="B36" s="171"/>
      <c r="C36" s="10"/>
      <c r="D36" s="13"/>
    </row>
    <row r="37" spans="1:4" ht="15.75">
      <c r="A37" s="174"/>
      <c r="B37" s="171"/>
      <c r="C37" s="10"/>
      <c r="D37" s="13"/>
    </row>
    <row r="38" spans="1:7" ht="15">
      <c r="A38" s="329"/>
      <c r="B38" s="329"/>
      <c r="C38" s="329"/>
      <c r="D38" s="329"/>
      <c r="E38" s="69"/>
      <c r="F38" s="68"/>
      <c r="G38" s="68"/>
    </row>
    <row r="39" spans="1:7" ht="20.25">
      <c r="A39" s="203"/>
      <c r="B39" s="204"/>
      <c r="C39" s="203"/>
      <c r="D39" s="205"/>
      <c r="E39" s="203"/>
      <c r="F39" s="69"/>
      <c r="G39" s="69"/>
    </row>
    <row r="40" spans="1:7" ht="15.75">
      <c r="A40" s="206"/>
      <c r="B40" s="207"/>
      <c r="C40" s="202"/>
      <c r="D40" s="207"/>
      <c r="E40" s="207"/>
      <c r="F40" s="69"/>
      <c r="G40" s="69"/>
    </row>
    <row r="41" spans="1:7" ht="15">
      <c r="A41" s="208"/>
      <c r="B41" s="207"/>
      <c r="C41" s="202"/>
      <c r="D41" s="207"/>
      <c r="E41" s="207"/>
      <c r="F41" s="69"/>
      <c r="G41" s="69"/>
    </row>
    <row r="42" spans="1:7" ht="15">
      <c r="A42" s="209"/>
      <c r="B42" s="203"/>
      <c r="C42" s="203"/>
      <c r="D42" s="203"/>
      <c r="E42" s="203"/>
      <c r="F42" s="68"/>
      <c r="G42" s="68"/>
    </row>
    <row r="43" spans="1:7" ht="15">
      <c r="A43" s="69"/>
      <c r="B43" s="210"/>
      <c r="C43" s="211"/>
      <c r="D43" s="212"/>
      <c r="E43" s="213"/>
      <c r="F43" s="68"/>
      <c r="G43" s="68"/>
    </row>
    <row r="44" spans="1:7" ht="15">
      <c r="A44" s="214"/>
      <c r="B44" s="210"/>
      <c r="C44" s="211"/>
      <c r="D44" s="212"/>
      <c r="E44" s="213"/>
      <c r="F44" s="68"/>
      <c r="G44" s="68"/>
    </row>
    <row r="45" spans="1:7" ht="15">
      <c r="A45" s="214"/>
      <c r="B45" s="210"/>
      <c r="C45" s="211"/>
      <c r="D45" s="212"/>
      <c r="E45" s="213"/>
      <c r="F45" s="68"/>
      <c r="G45" s="68"/>
    </row>
    <row r="46" spans="1:7" ht="15">
      <c r="A46" s="209"/>
      <c r="B46" s="215"/>
      <c r="C46" s="216"/>
      <c r="D46" s="217"/>
      <c r="E46" s="213"/>
      <c r="F46" s="68"/>
      <c r="G46" s="68"/>
    </row>
    <row r="47" spans="1:7" ht="15">
      <c r="A47" s="69"/>
      <c r="B47" s="210"/>
      <c r="C47" s="211"/>
      <c r="D47" s="212"/>
      <c r="E47" s="213"/>
      <c r="F47" s="68"/>
      <c r="G47" s="68"/>
    </row>
    <row r="48" spans="1:7" ht="15">
      <c r="A48" s="214"/>
      <c r="B48" s="210"/>
      <c r="C48" s="211"/>
      <c r="D48" s="212"/>
      <c r="E48" s="213"/>
      <c r="F48" s="68"/>
      <c r="G48" s="68"/>
    </row>
    <row r="49" spans="1:7" ht="15">
      <c r="A49" s="214"/>
      <c r="B49" s="210"/>
      <c r="C49" s="211"/>
      <c r="D49" s="212"/>
      <c r="E49" s="213"/>
      <c r="F49" s="68"/>
      <c r="G49" s="68"/>
    </row>
    <row r="50" spans="1:7" ht="15">
      <c r="A50" s="214"/>
      <c r="B50" s="210"/>
      <c r="C50" s="211"/>
      <c r="D50" s="212"/>
      <c r="E50" s="213"/>
      <c r="F50" s="68"/>
      <c r="G50" s="68"/>
    </row>
    <row r="51" spans="1:8" ht="15">
      <c r="A51" s="214"/>
      <c r="B51" s="210"/>
      <c r="C51" s="211"/>
      <c r="D51" s="212"/>
      <c r="E51" s="213"/>
      <c r="F51" s="68"/>
      <c r="G51" s="68"/>
      <c r="H51" s="69"/>
    </row>
    <row r="52" spans="1:8" ht="15">
      <c r="A52" s="218"/>
      <c r="B52" s="219"/>
      <c r="C52" s="203"/>
      <c r="D52" s="203"/>
      <c r="E52" s="220"/>
      <c r="F52" s="68"/>
      <c r="G52" s="68"/>
      <c r="H52" s="69"/>
    </row>
    <row r="53" spans="1:8" ht="15.75">
      <c r="A53" s="221"/>
      <c r="B53" s="222"/>
      <c r="C53" s="222"/>
      <c r="D53" s="222"/>
      <c r="E53" s="222"/>
      <c r="F53" s="68"/>
      <c r="G53" s="68"/>
      <c r="H53" s="69"/>
    </row>
    <row r="54" spans="1:8" ht="15">
      <c r="A54" s="208"/>
      <c r="B54" s="223"/>
      <c r="C54" s="224"/>
      <c r="D54" s="225"/>
      <c r="E54" s="224"/>
      <c r="F54" s="72"/>
      <c r="G54" s="73"/>
      <c r="H54" s="69"/>
    </row>
    <row r="55" spans="1:8" ht="15">
      <c r="A55" s="69"/>
      <c r="B55" s="224"/>
      <c r="C55" s="224"/>
      <c r="D55" s="226"/>
      <c r="E55" s="224"/>
      <c r="F55" s="72"/>
      <c r="G55" s="73"/>
      <c r="H55" s="69"/>
    </row>
    <row r="56" spans="1:8" ht="15">
      <c r="A56" s="227"/>
      <c r="B56" s="203"/>
      <c r="C56" s="203"/>
      <c r="D56" s="69"/>
      <c r="E56" s="203"/>
      <c r="F56" s="71"/>
      <c r="G56" s="71"/>
      <c r="H56" s="69"/>
    </row>
    <row r="57" spans="1:8" ht="15">
      <c r="A57" s="69"/>
      <c r="B57" s="228"/>
      <c r="C57" s="229"/>
      <c r="D57" s="230"/>
      <c r="E57" s="213"/>
      <c r="F57" s="69"/>
      <c r="G57" s="69"/>
      <c r="H57" s="69"/>
    </row>
    <row r="58" spans="1:8" ht="15">
      <c r="A58" s="231"/>
      <c r="B58" s="228"/>
      <c r="C58" s="229"/>
      <c r="D58" s="230"/>
      <c r="E58" s="213"/>
      <c r="F58" s="69"/>
      <c r="G58" s="69"/>
      <c r="H58" s="69"/>
    </row>
    <row r="59" spans="1:8" ht="15">
      <c r="A59" s="231"/>
      <c r="B59" s="228"/>
      <c r="C59" s="229"/>
      <c r="D59" s="230"/>
      <c r="E59" s="213"/>
      <c r="F59" s="71"/>
      <c r="G59" s="69"/>
      <c r="H59" s="70"/>
    </row>
    <row r="60" spans="1:8" ht="15">
      <c r="A60" s="227"/>
      <c r="B60" s="232"/>
      <c r="C60" s="233"/>
      <c r="D60" s="230"/>
      <c r="E60" s="213"/>
      <c r="F60" s="68"/>
      <c r="G60" s="68"/>
      <c r="H60" s="68"/>
    </row>
    <row r="61" spans="1:8" ht="15">
      <c r="A61" s="69"/>
      <c r="B61" s="228"/>
      <c r="C61" s="229"/>
      <c r="D61" s="230"/>
      <c r="E61" s="213"/>
      <c r="F61" s="68"/>
      <c r="G61" s="68"/>
      <c r="H61" s="68"/>
    </row>
    <row r="62" spans="1:8" ht="15">
      <c r="A62" s="231"/>
      <c r="B62" s="228"/>
      <c r="C62" s="229"/>
      <c r="D62" s="230"/>
      <c r="E62" s="213"/>
      <c r="F62" s="68"/>
      <c r="G62" s="68"/>
      <c r="H62" s="68"/>
    </row>
    <row r="63" spans="1:8" ht="15">
      <c r="A63" s="214"/>
      <c r="B63" s="228"/>
      <c r="C63" s="229"/>
      <c r="D63" s="230"/>
      <c r="E63" s="213"/>
      <c r="F63" s="68"/>
      <c r="G63" s="68"/>
      <c r="H63" s="68"/>
    </row>
    <row r="64" spans="1:8" ht="15">
      <c r="A64" s="214"/>
      <c r="B64" s="228"/>
      <c r="C64" s="229"/>
      <c r="D64" s="230"/>
      <c r="E64" s="213"/>
      <c r="F64" s="68"/>
      <c r="G64" s="68"/>
      <c r="H64" s="68"/>
    </row>
    <row r="65" spans="1:8" ht="15">
      <c r="A65" s="234"/>
      <c r="B65" s="232"/>
      <c r="C65" s="233"/>
      <c r="D65" s="230"/>
      <c r="E65" s="213"/>
      <c r="F65" s="68"/>
      <c r="G65" s="68"/>
      <c r="H65" s="68"/>
    </row>
    <row r="66" spans="1:8" ht="15">
      <c r="A66" s="69"/>
      <c r="B66" s="228"/>
      <c r="C66" s="229"/>
      <c r="D66" s="230"/>
      <c r="E66" s="213"/>
      <c r="F66" s="68"/>
      <c r="G66" s="68"/>
      <c r="H66" s="68"/>
    </row>
    <row r="67" spans="1:8" ht="15">
      <c r="A67" s="214"/>
      <c r="B67" s="228"/>
      <c r="C67" s="229"/>
      <c r="D67" s="230"/>
      <c r="E67" s="213"/>
      <c r="F67" s="68"/>
      <c r="G67" s="68"/>
      <c r="H67" s="68"/>
    </row>
    <row r="68" spans="1:8" ht="15">
      <c r="A68" s="214"/>
      <c r="B68" s="228"/>
      <c r="C68" s="229"/>
      <c r="D68" s="230"/>
      <c r="E68" s="213"/>
      <c r="F68" s="68"/>
      <c r="G68" s="68"/>
      <c r="H68" s="68"/>
    </row>
    <row r="69" spans="1:8" ht="15">
      <c r="A69" s="218"/>
      <c r="B69" s="203"/>
      <c r="C69" s="203"/>
      <c r="D69" s="203"/>
      <c r="E69" s="220"/>
      <c r="F69" s="68"/>
      <c r="G69" s="68"/>
      <c r="H69" s="68"/>
    </row>
    <row r="70" spans="1:8" ht="15">
      <c r="A70" s="69"/>
      <c r="B70" s="69"/>
      <c r="C70" s="69"/>
      <c r="D70" s="69"/>
      <c r="E70" s="69"/>
      <c r="F70" s="68"/>
      <c r="G70" s="68"/>
      <c r="H70" s="68"/>
    </row>
    <row r="71" spans="1:8" ht="15">
      <c r="A71" s="69"/>
      <c r="B71" s="69"/>
      <c r="C71" s="69"/>
      <c r="D71" s="69"/>
      <c r="E71" s="69"/>
      <c r="F71" s="68"/>
      <c r="G71" s="68"/>
      <c r="H71" s="68"/>
    </row>
    <row r="72" spans="1:8" ht="18">
      <c r="A72" s="235"/>
      <c r="B72" s="236"/>
      <c r="C72" s="237"/>
      <c r="D72" s="37"/>
      <c r="E72" s="69"/>
      <c r="F72" s="68"/>
      <c r="G72" s="68"/>
      <c r="H72" s="68"/>
    </row>
    <row r="73" spans="1:8" ht="15">
      <c r="A73" s="238"/>
      <c r="B73" s="123"/>
      <c r="C73" s="124"/>
      <c r="D73" s="124"/>
      <c r="E73" s="69"/>
      <c r="F73" s="68"/>
      <c r="G73" s="68"/>
      <c r="H73" s="68"/>
    </row>
    <row r="74" spans="1:8" ht="15">
      <c r="A74" s="239"/>
      <c r="B74" s="151"/>
      <c r="C74" s="127"/>
      <c r="D74" s="127"/>
      <c r="E74" s="69"/>
      <c r="F74" s="68"/>
      <c r="G74" s="68"/>
      <c r="H74" s="68"/>
    </row>
    <row r="75" spans="1:8" ht="15">
      <c r="A75" s="239"/>
      <c r="B75" s="152"/>
      <c r="C75" s="129"/>
      <c r="D75" s="129"/>
      <c r="E75" s="69"/>
      <c r="F75" s="68"/>
      <c r="G75" s="68"/>
      <c r="H75" s="68"/>
    </row>
    <row r="76" spans="1:5" ht="15">
      <c r="A76" s="238"/>
      <c r="B76" s="153"/>
      <c r="C76" s="129"/>
      <c r="D76" s="129"/>
      <c r="E76" s="69"/>
    </row>
    <row r="77" spans="1:5" ht="15">
      <c r="A77" s="238"/>
      <c r="B77" s="153"/>
      <c r="C77" s="129"/>
      <c r="D77" s="129"/>
      <c r="E77" s="69"/>
    </row>
    <row r="78" spans="1:5" ht="15">
      <c r="A78" s="237"/>
      <c r="B78" s="154"/>
      <c r="C78" s="129"/>
      <c r="D78" s="129"/>
      <c r="E78" s="69"/>
    </row>
    <row r="79" spans="1:5" ht="15">
      <c r="A79" s="240"/>
      <c r="B79" s="39"/>
      <c r="C79" s="39"/>
      <c r="D79" s="39"/>
      <c r="E79" s="69"/>
    </row>
    <row r="80" spans="1:5" ht="15">
      <c r="A80" s="241"/>
      <c r="B80" s="36"/>
      <c r="C80" s="36"/>
      <c r="D80" s="36"/>
      <c r="E80" s="69"/>
    </row>
    <row r="81" spans="1:5" ht="15">
      <c r="A81" s="241"/>
      <c r="B81" s="36"/>
      <c r="C81" s="36"/>
      <c r="D81" s="36"/>
      <c r="E81" s="69"/>
    </row>
    <row r="82" spans="1:5" ht="15">
      <c r="A82" s="242"/>
      <c r="B82" s="39"/>
      <c r="C82" s="39"/>
      <c r="D82" s="39"/>
      <c r="E82" s="69"/>
    </row>
    <row r="83" spans="1:5" ht="15">
      <c r="A83" s="241"/>
      <c r="B83" s="40"/>
      <c r="C83" s="41"/>
      <c r="D83" s="41"/>
      <c r="E83" s="69"/>
    </row>
    <row r="84" spans="1:5" ht="15">
      <c r="A84" s="241"/>
      <c r="B84" s="40"/>
      <c r="C84" s="41"/>
      <c r="D84" s="41"/>
      <c r="E84" s="69"/>
    </row>
    <row r="85" spans="1:5" ht="15">
      <c r="A85" s="69"/>
      <c r="B85" s="69"/>
      <c r="C85" s="69"/>
      <c r="D85" s="69"/>
      <c r="E85" s="69"/>
    </row>
    <row r="86" spans="1:5" ht="15">
      <c r="A86" s="69"/>
      <c r="B86" s="243"/>
      <c r="C86" s="69"/>
      <c r="D86" s="69"/>
      <c r="E86" s="69"/>
    </row>
    <row r="87" spans="1:5" ht="15">
      <c r="A87" s="69"/>
      <c r="B87" s="69"/>
      <c r="C87" s="69"/>
      <c r="D87" s="69"/>
      <c r="E87" s="69"/>
    </row>
    <row r="88" spans="1:5" ht="15">
      <c r="A88" s="69"/>
      <c r="B88" s="69"/>
      <c r="C88" s="69"/>
      <c r="D88" s="69"/>
      <c r="E88" s="69"/>
    </row>
    <row r="89" spans="1:5" ht="15">
      <c r="A89" s="69"/>
      <c r="B89" s="69"/>
      <c r="C89" s="69"/>
      <c r="D89" s="69"/>
      <c r="E89" s="69"/>
    </row>
    <row r="90" spans="1:5" ht="15">
      <c r="A90" s="69"/>
      <c r="B90" s="69"/>
      <c r="C90" s="69"/>
      <c r="D90" s="69"/>
      <c r="E90" s="69"/>
    </row>
    <row r="91" spans="1:5" ht="15">
      <c r="A91" s="69"/>
      <c r="B91" s="69"/>
      <c r="C91" s="69"/>
      <c r="D91" s="69"/>
      <c r="E91" s="69"/>
    </row>
  </sheetData>
  <sheetProtection/>
  <printOptions/>
  <pageMargins left="0.75" right="0.56" top="1" bottom="1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OMAFRA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OMAFRA</dc:creator>
  <cp:keywords/>
  <dc:description/>
  <cp:lastModifiedBy>Dean, Brooke (OMAFRA)</cp:lastModifiedBy>
  <cp:lastPrinted>2005-08-16T14:06:00Z</cp:lastPrinted>
  <dcterms:created xsi:type="dcterms:W3CDTF">1999-11-08T14:33:43Z</dcterms:created>
  <dcterms:modified xsi:type="dcterms:W3CDTF">2015-12-17T15:18:06Z</dcterms:modified>
  <cp:category/>
  <cp:version/>
  <cp:contentType/>
  <cp:contentStatus/>
</cp:coreProperties>
</file>