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4830" activeTab="3"/>
  </bookViews>
  <sheets>
    <sheet name="Menu" sheetId="1" r:id="rId1"/>
    <sheet name="Calculatrice" sheetId="2" r:id="rId2"/>
    <sheet name="Nombre d'heures" sheetId="3" r:id="rId3"/>
    <sheet name="Bail ou achat" sheetId="4" r:id="rId4"/>
    <sheet name="Graphique des décaissements" sheetId="5" r:id="rId5"/>
    <sheet name="Comparaison - Autres options" sheetId="6" r:id="rId6"/>
  </sheets>
  <definedNames>
    <definedName name="\p">#REF!</definedName>
    <definedName name="_1__123Graph_ACHART_1" hidden="1">'Bail ou achat'!$C$76:$J$76</definedName>
    <definedName name="_2__123Graph_BCHART_1" hidden="1">'Bail ou achat'!$C$86:$J$86</definedName>
    <definedName name="_3__123Graph_XCHART_1" hidden="1">'Bail ou achat'!$C$60:$J$60</definedName>
    <definedName name="behours">#REF!</definedName>
    <definedName name="CCA">'Bail ou achat'!$C$43</definedName>
    <definedName name="G_ÿ_P_">#REF!</definedName>
    <definedName name="Interest">'Bail ou achat'!$C$34</definedName>
    <definedName name="joe">'Bail ou achat'!#REF!</definedName>
    <definedName name="Loan">'Bail ou achat'!$C$33</definedName>
    <definedName name="_xlnm.Print_Area" localSheetId="3">'Bail ou achat'!$B$25:$O$106</definedName>
    <definedName name="_xlnm.Print_Area" localSheetId="1">'Calculatrice'!$B$2:$C$40</definedName>
    <definedName name="_xlnm.Print_Area" localSheetId="5">'Comparaison - Autres options'!$B$1:$G$55</definedName>
    <definedName name="_xlnm.Print_Area" localSheetId="0">'Menu'!$A$1:$B$23</definedName>
    <definedName name="_xlnm.Print_Area" localSheetId="2">'Nombre d''heures'!$B$2:$G$19</definedName>
    <definedName name="Term">'Bail ou achat'!$C$35</definedName>
    <definedName name="ZERO">#REF!</definedName>
    <definedName name="zero1">#REF!</definedName>
  </definedNames>
  <calcPr fullCalcOnLoad="1"/>
</workbook>
</file>

<file path=xl/comments2.xml><?xml version="1.0" encoding="utf-8"?>
<comments xmlns="http://schemas.openxmlformats.org/spreadsheetml/2006/main">
  <authors>
    <author>Rob Gamble</author>
  </authors>
  <commentList>
    <comment ref="C20" authorId="0">
      <text>
        <r>
          <rPr>
            <sz val="7"/>
            <rFont val="Tahoma"/>
            <family val="2"/>
          </rPr>
          <t>Au Canada, les intérêts sur les prêts hypothécaires sont généralement capitalisés deux fois par année. Les intérêts sur de nombreux autres types de prêts, comme les prêts pour matériel et les prêts à vue, sont capitalisés mensuellement. 
Ce logiciel nécessite au moins une période de capitalisation par année.</t>
        </r>
      </text>
    </comment>
  </commentList>
</comments>
</file>

<file path=xl/comments4.xml><?xml version="1.0" encoding="utf-8"?>
<comments xmlns="http://schemas.openxmlformats.org/spreadsheetml/2006/main">
  <authors>
    <author>Rob Gamble</author>
    <author>A satisfied Microsoft Office user</author>
  </authors>
  <commentList>
    <comment ref="C26" authorId="0">
      <text>
        <r>
          <rPr>
            <sz val="9"/>
            <rFont val="Tahoma"/>
            <family val="2"/>
          </rPr>
          <t>Cette valeur a une incidence sur la valeur de récupération et l'estimation de la valeur à la fin du bail.</t>
        </r>
      </text>
    </comment>
    <comment ref="C42" authorId="0">
      <text>
        <r>
          <rPr>
            <sz val="9"/>
            <rFont val="Tahoma"/>
            <family val="2"/>
          </rPr>
          <t>Montant sur lequel l’amortissement est basé. Le montant de la reprise est soustrait étant donné que le crédit pour amortissement est groupé par classe d’actif. La reprise serait ainsi une déduction de la classe et l’achat, une addition. La différence correspondrait à la somme sur laquelle le calcul de l’amortissement est basé. De plus, la première année de l’achat, seul un amortissement de 50 % est permis.</t>
        </r>
      </text>
    </comment>
    <comment ref="C62" authorId="0">
      <text>
        <r>
          <rPr>
            <b/>
            <sz val="9"/>
            <rFont val="Tahoma"/>
            <family val="2"/>
          </rPr>
          <t>Total de la valeur de reprise et de l'acompte</t>
        </r>
      </text>
    </comment>
    <comment ref="C27" authorId="0">
      <text>
        <r>
          <rPr>
            <sz val="9"/>
            <rFont val="Tahoma"/>
            <family val="2"/>
          </rPr>
          <t>Montant payé pour la machine.</t>
        </r>
      </text>
    </comment>
    <comment ref="C28" authorId="0">
      <text>
        <r>
          <rPr>
            <sz val="9"/>
            <rFont val="Tahoma"/>
            <family val="2"/>
          </rPr>
          <t>Le programme calcule ce montant en fonction des heures d'utilisation et le type de machine.</t>
        </r>
      </text>
    </comment>
    <comment ref="C29" authorId="0">
      <text>
        <r>
          <rPr>
            <sz val="9"/>
            <rFont val="Tahoma"/>
            <family val="2"/>
          </rPr>
          <t>Ce facteur de rajustement peut être utilisé pour augmenter ou diminuer la valeur de récupération calculée par le logiciel.</t>
        </r>
      </text>
    </comment>
    <comment ref="G26" authorId="0">
      <text>
        <r>
          <rPr>
            <sz val="9"/>
            <rFont val="Tahoma"/>
            <family val="2"/>
          </rPr>
          <t>Coût de l'équipement loué.</t>
        </r>
      </text>
    </comment>
    <comment ref="D128" authorId="1">
      <text>
        <r>
          <rPr>
            <sz val="9"/>
            <rFont val="Tahoma"/>
            <family val="2"/>
          </rPr>
          <t xml:space="preserve">Au Canada, les intérêts sur les prêts hypothécaires sont généralement capitalisés deux fois par année. Les intérêts sur de nombreux autres types de prêts, comme les prêts pour matériel et les prêts à vue, sont capitalisés mensuellement. 
Ce logiciel nécessite au moins une période de capitalisation par année.
</t>
        </r>
      </text>
    </comment>
    <comment ref="G129" authorId="1">
      <text>
        <r>
          <rPr>
            <sz val="9"/>
            <rFont val="Tahoma"/>
            <family val="2"/>
          </rPr>
          <t xml:space="preserve">Il s'agit des intérêts à payer, y compris les rajustements apportés à la suite de paiements supplémentaires facultatifs.
Si aucun paiement facultatif n'a été effectué, ce chiffre peut s'écarter des intérêts prévus de quelques cents en raison de l'arrondissement des paiements.
</t>
        </r>
      </text>
    </comment>
    <comment ref="C132" authorId="1">
      <text>
        <r>
          <rPr>
            <sz val="9"/>
            <rFont val="Tahoma"/>
            <family val="2"/>
          </rPr>
          <t xml:space="preserve">Le solde d'ouverture indiqué est spécifique à chaque paiement et est fondé sur les renseignements fournis sur le prêt, y compris les paiements facultatifs qui ont été effectués, le cas échéant.
</t>
        </r>
      </text>
    </comment>
    <comment ref="G132" authorId="1">
      <text>
        <r>
          <rPr>
            <sz val="9"/>
            <rFont val="Tahoma"/>
            <family val="2"/>
          </rPr>
          <t xml:space="preserve">Inscrire les paiements supplémentaires facultatifs dans cette colonne.
</t>
        </r>
      </text>
    </comment>
    <comment ref="D133" authorId="1">
      <text>
        <r>
          <rPr>
            <sz val="9"/>
            <rFont val="Tahoma"/>
            <family val="2"/>
          </rPr>
          <t xml:space="preserve">Le paiement indiqué est fondé sur les renseignements indiqués plus haut. Vous pouvez modifier à votre guise les renseignements sur le prêt.
</t>
        </r>
      </text>
    </comment>
  </commentList>
</comments>
</file>

<file path=xl/sharedStrings.xml><?xml version="1.0" encoding="utf-8"?>
<sst xmlns="http://schemas.openxmlformats.org/spreadsheetml/2006/main" count="371" uniqueCount="300">
  <si>
    <t>6</t>
  </si>
  <si>
    <t>7</t>
  </si>
  <si>
    <t>8</t>
  </si>
  <si>
    <t>9</t>
  </si>
  <si>
    <t>10</t>
  </si>
  <si>
    <t xml:space="preserve">    To read the Leasing Factsheet </t>
  </si>
  <si>
    <t>a</t>
  </si>
  <si>
    <t>b</t>
  </si>
  <si>
    <t>c</t>
  </si>
  <si>
    <t>d</t>
  </si>
  <si>
    <t>e</t>
  </si>
  <si>
    <t>f</t>
  </si>
  <si>
    <t>Total</t>
  </si>
  <si>
    <t>August 6, 1997 Release 1</t>
  </si>
  <si>
    <t>Principal</t>
  </si>
  <si>
    <t>Conçu par Rob Gamble</t>
  </si>
  <si>
    <t>Chef de programme, Genres d'entreprises et questions financières</t>
  </si>
  <si>
    <r>
      <t>Courriel:</t>
    </r>
    <r>
      <rPr>
        <sz val="10"/>
        <color indexed="12"/>
        <rFont val="Times New Roman"/>
        <family val="1"/>
      </rPr>
      <t xml:space="preserve"> rob.gamble@omaf.gov.on.ca</t>
    </r>
  </si>
  <si>
    <t>Ministère de l'agriculture et de l'alimentation, Guelph</t>
  </si>
  <si>
    <t>Menu - Tableur d'analyse des baux d'équipement</t>
  </si>
  <si>
    <r>
      <t xml:space="preserve">Le </t>
    </r>
    <r>
      <rPr>
        <b/>
        <sz val="10"/>
        <rFont val="Arial"/>
        <family val="2"/>
      </rPr>
      <t>tableur d'analyse des baux d'équipement</t>
    </r>
    <r>
      <rPr>
        <sz val="10"/>
        <rFont val="Arial"/>
        <family val="2"/>
      </rPr>
      <t xml:space="preserve"> fait la comparaison entre les options location et achat. </t>
    </r>
  </si>
  <si>
    <t>Location</t>
  </si>
  <si>
    <t>Coût de l'équipement</t>
  </si>
  <si>
    <t>Total annuel des paiements de location</t>
  </si>
  <si>
    <t>Durée du bail</t>
  </si>
  <si>
    <t>Total des paiements de location</t>
  </si>
  <si>
    <t>Acompte ou reprise</t>
  </si>
  <si>
    <t>Somme totale investie dans la location</t>
  </si>
  <si>
    <t>Montant équivalant à l'impôt économisé, au taux
d'imposition de 41% (0,41 x ligne C)</t>
  </si>
  <si>
    <t>Comparaison des options de location ou 
d'achat - Comptabilité de caisse</t>
  </si>
  <si>
    <t>Coût de location total après impôt</t>
  </si>
  <si>
    <t>Achat</t>
  </si>
  <si>
    <t>Montant du prêt</t>
  </si>
  <si>
    <t>Nombre de paiements par année</t>
  </si>
  <si>
    <t>Durée du prêt</t>
  </si>
  <si>
    <t>Taux d'intérêt annuel</t>
  </si>
  <si>
    <t>Paiements de prêt</t>
  </si>
  <si>
    <t>Total annuel des paiements de prêt</t>
  </si>
  <si>
    <t>Total des paiements d'intérêt</t>
  </si>
  <si>
    <t>Total des paiements de prêt</t>
  </si>
  <si>
    <t>Juste valeur marchande de l'actif au bout de 4 ans</t>
  </si>
  <si>
    <t>Somme totale déboursée pour l'achat</t>
  </si>
  <si>
    <t>Détailles du prêt</t>
  </si>
  <si>
    <t>Taux DPA</t>
  </si>
  <si>
    <t>Année</t>
  </si>
  <si>
    <t>Taux d'imposition</t>
  </si>
  <si>
    <t>Valeur amortie de l'équipement au bout de 4 ans</t>
  </si>
  <si>
    <t>Coût d'achat total après impôt</t>
  </si>
  <si>
    <t>Impôt à payer sur la récupération</t>
  </si>
  <si>
    <t>Récupération de la valeur de l'équipement s'il est vendu 
au bout de la 4e année</t>
  </si>
  <si>
    <t>Intérêts</t>
  </si>
  <si>
    <t>Amortissement</t>
  </si>
  <si>
    <t>Taux de déduction pour amortissement (DPA)</t>
  </si>
  <si>
    <t>Réduction moyenne annuelle des décaissements avec
l'option location</t>
  </si>
  <si>
    <t>Calcul du nombre d'heures d'utilisation optimal</t>
  </si>
  <si>
    <t>Bail 1</t>
  </si>
  <si>
    <t>Bail 2</t>
  </si>
  <si>
    <t>Paiement annuel</t>
  </si>
  <si>
    <t>Supplément horaire par cv</t>
  </si>
  <si>
    <t>Force de l'équipement en cv</t>
  </si>
  <si>
    <t>Point d'équilibre</t>
  </si>
  <si>
    <t>Conséquences</t>
  </si>
  <si>
    <r>
      <t xml:space="preserve">Ceci peut être accompli en utilisant la </t>
    </r>
    <r>
      <rPr>
        <b/>
        <sz val="10"/>
        <rFont val="Arial"/>
        <family val="2"/>
      </rPr>
      <t>calculatrice</t>
    </r>
    <r>
      <rPr>
        <sz val="10"/>
        <rFont val="Arial"/>
        <family val="2"/>
      </rPr>
      <t xml:space="preserve"> ou le </t>
    </r>
    <r>
      <rPr>
        <b/>
        <sz val="10"/>
        <rFont val="Arial"/>
        <family val="2"/>
      </rPr>
      <t>tableau de décaissements</t>
    </r>
    <r>
      <rPr>
        <sz val="10"/>
        <rFont val="Arial"/>
        <family val="2"/>
      </rPr>
      <t xml:space="preserve">.  </t>
    </r>
  </si>
  <si>
    <r>
      <t xml:space="preserve">Le tableau de </t>
    </r>
    <r>
      <rPr>
        <b/>
        <sz val="10"/>
        <rFont val="Arial"/>
        <family val="2"/>
      </rPr>
      <t>comparaison - autres options</t>
    </r>
    <r>
      <rPr>
        <sz val="10"/>
        <rFont val="Arial"/>
        <family val="2"/>
      </rPr>
      <t xml:space="preserve"> vous permet de comparer le coût d'acheter et réparer de l'équipement d'occasion.</t>
    </r>
  </si>
  <si>
    <t>Calculatrice des coûts des machines agricoles</t>
  </si>
  <si>
    <t>Type de machine</t>
  </si>
  <si>
    <t>Économies annuelles moyennes avec l'option location</t>
  </si>
  <si>
    <t>Acres par année</t>
  </si>
  <si>
    <t>Réparations en % du prix d'achat</t>
  </si>
  <si>
    <t>Assurance et remisage</t>
  </si>
  <si>
    <t>Carburants et lubrifiants</t>
  </si>
  <si>
    <t>Réparations</t>
  </si>
  <si>
    <t>Main d'oeuvre</t>
  </si>
  <si>
    <t xml:space="preserve">Total des coûts d'exploitation </t>
  </si>
  <si>
    <t>Total  des coûts d'exploitation</t>
  </si>
  <si>
    <t>Taux de déduction pour amortissement</t>
  </si>
  <si>
    <t xml:space="preserve">Taux </t>
  </si>
  <si>
    <t>par acre</t>
  </si>
  <si>
    <t>Total pour 5 ans</t>
  </si>
  <si>
    <t>Année 1</t>
  </si>
  <si>
    <t>Année 2</t>
  </si>
  <si>
    <t>Année 3</t>
  </si>
  <si>
    <t>Année 4</t>
  </si>
  <si>
    <t>Année 5</t>
  </si>
  <si>
    <t>Année 6</t>
  </si>
  <si>
    <t>Année 7</t>
  </si>
  <si>
    <t>Année 8</t>
  </si>
  <si>
    <t>Année 9</t>
  </si>
  <si>
    <t>Année 10</t>
  </si>
  <si>
    <t>Déductions</t>
  </si>
  <si>
    <t>Début</t>
  </si>
  <si>
    <t>Prix de la machine neuve (ou vealeur de la machine actuelle)</t>
  </si>
  <si>
    <t>Valeur résiduelle de la machine (fin de bail)</t>
  </si>
  <si>
    <r>
      <t xml:space="preserve">Valeur de reprise de la machine actuelle </t>
    </r>
    <r>
      <rPr>
        <sz val="8"/>
        <rFont val="Times New Roman"/>
        <family val="1"/>
      </rPr>
      <t>(ou vente de travail à forfait)</t>
    </r>
  </si>
  <si>
    <t>Durée d'utilisation de la nouvelle machine (années)</t>
  </si>
  <si>
    <t>Heures d'utilisation cumulées lors de l'achat</t>
  </si>
  <si>
    <t>Nombre total d'heures accumulées</t>
  </si>
  <si>
    <t>Vitesse de travail (acres / heure) facultatif</t>
  </si>
  <si>
    <t>Coût de carburant par litre</t>
  </si>
  <si>
    <t>Machine neuve</t>
  </si>
  <si>
    <t>Travail à forfait</t>
  </si>
  <si>
    <t>Consommation à l'heure (litres)</t>
  </si>
  <si>
    <t>Coûts annuels de réparation</t>
  </si>
  <si>
    <t>Coûts total de réparation selon la durée d'utilisation</t>
  </si>
  <si>
    <t>Acompte</t>
  </si>
  <si>
    <t>Prêt requis</t>
  </si>
  <si>
    <t>Frais d'intérêts (totaux)</t>
  </si>
  <si>
    <t>Paiements  annuels (prêt ou crédit-bail)</t>
  </si>
  <si>
    <t>Taux d'actualisation (si vous investissez ailleurs)</t>
  </si>
  <si>
    <t>Charges  annuelles fixes</t>
  </si>
  <si>
    <t>Amortissement annuel noyen</t>
  </si>
  <si>
    <t>Intérêt sur votre investissement  (revenu de travail à forfait)</t>
  </si>
  <si>
    <t>Total des charges fixes</t>
  </si>
  <si>
    <t>Coûts annuels d'exploitation</t>
  </si>
  <si>
    <t>Total des coûts annuels</t>
  </si>
  <si>
    <t>Coûts annuels par acre</t>
  </si>
  <si>
    <t>Charges annuelles décaissées</t>
  </si>
  <si>
    <t>Paiements annuels - prêt</t>
  </si>
  <si>
    <t>Acompte  x taux d'intérêt</t>
  </si>
  <si>
    <t>Total des charges décaissées avant l'impôt</t>
  </si>
  <si>
    <t>Charges décaissées par acre</t>
  </si>
  <si>
    <t>Calcul des coûts après l'impôt</t>
  </si>
  <si>
    <t>Dépenses déductibles</t>
  </si>
  <si>
    <t>Déduction pour amortissement moyenne par année</t>
  </si>
  <si>
    <t>Frais d'intérêt annuels (moyen)</t>
  </si>
  <si>
    <t>Carburant, lubrifiants et réparations</t>
  </si>
  <si>
    <t>Paiements de location</t>
  </si>
  <si>
    <t>Dépenses liées au travail à forfait</t>
  </si>
  <si>
    <t>Total des dépenses déductibles</t>
  </si>
  <si>
    <t>Réduction d'impôt</t>
  </si>
  <si>
    <t>Réduction d'impôt par acre</t>
  </si>
  <si>
    <t>Coût après impôt par acre</t>
  </si>
  <si>
    <t>Calcul de la DPA ci-dessous</t>
  </si>
  <si>
    <t>Calcul de DPA</t>
  </si>
  <si>
    <t xml:space="preserve">Déduction moyenne </t>
  </si>
  <si>
    <t>Machine d'occasion</t>
  </si>
  <si>
    <t>Machine réparée</t>
  </si>
  <si>
    <t>Tableur d'analyse des baux d'équipement</t>
  </si>
  <si>
    <t xml:space="preserve">Cliquer deux fois pour consulter </t>
  </si>
  <si>
    <t>en format Word</t>
  </si>
  <si>
    <t xml:space="preserve">  MONTANT DU PRÊT      ($)</t>
  </si>
  <si>
    <t xml:space="preserve">  TAUX D'INTÉRÊT ANNUEL %</t>
  </si>
  <si>
    <t xml:space="preserve">  DURÉE DU PRÊT (ANNÉES)</t>
  </si>
  <si>
    <t xml:space="preserve">  Nbre DE PAIEMENTS PAR ANNÉE</t>
  </si>
  <si>
    <t>Solde</t>
  </si>
  <si>
    <t>Paiement</t>
  </si>
  <si>
    <t xml:space="preserve"> </t>
  </si>
  <si>
    <t>Paiements</t>
  </si>
  <si>
    <t xml:space="preserve"> d'ouverture</t>
  </si>
  <si>
    <t>prévu</t>
  </si>
  <si>
    <t xml:space="preserve"> facultatifs</t>
  </si>
  <si>
    <t>de clôture</t>
  </si>
  <si>
    <t>Intérêts réels</t>
  </si>
  <si>
    <t>tenant compte des paiements facultatifs</t>
  </si>
  <si>
    <t xml:space="preserve"> Intérêts prévus</t>
  </si>
  <si>
    <t xml:space="preserve">Intérêts </t>
  </si>
  <si>
    <t>Paiem.</t>
  </si>
  <si>
    <t xml:space="preserve"> cumulés</t>
  </si>
  <si>
    <t>cumulés</t>
  </si>
  <si>
    <t>cumulé</t>
  </si>
  <si>
    <t>Paiements totaux :        $</t>
  </si>
  <si>
    <t>Intérêts totaux :            $</t>
  </si>
  <si>
    <t>Principal total :             $</t>
  </si>
  <si>
    <t>À partir du paiement numéro :</t>
  </si>
  <si>
    <t>jusqu'au paiement numéro :</t>
  </si>
  <si>
    <t>Totaux cumulatifs : principal, intérêts et paiements</t>
  </si>
  <si>
    <t>Calendrier des paiements</t>
  </si>
  <si>
    <t>Créé par Ray Massey et William Edwards</t>
  </si>
  <si>
    <t>Bail</t>
  </si>
  <si>
    <t>Année  1</t>
  </si>
  <si>
    <t>Année 11</t>
  </si>
  <si>
    <t>VPN</t>
  </si>
  <si>
    <t>Calculs pour l'achat d'équipement</t>
  </si>
  <si>
    <t>Table d'entrée</t>
  </si>
  <si>
    <t>Prix d'achat</t>
  </si>
  <si>
    <t>Valeur de reprise</t>
  </si>
  <si>
    <t>Heures par année</t>
  </si>
  <si>
    <t>Paiements annuels</t>
  </si>
  <si>
    <t>Taux d'intérêt annuel (%)</t>
  </si>
  <si>
    <t>Acompte, si acheté et financé</t>
  </si>
  <si>
    <t>Prêt nécessaire, si acheté et financé</t>
  </si>
  <si>
    <t xml:space="preserve">  Intérêt </t>
  </si>
  <si>
    <t>Vente d'équipement</t>
  </si>
  <si>
    <t>Calculs pour bail d'équipement</t>
  </si>
  <si>
    <t>Paiements bail - heures supplémentaires</t>
  </si>
  <si>
    <t xml:space="preserve">  Nbre DE PÉRIODES DE CAP. DES INTÉRÊTS/ANNÉE</t>
  </si>
  <si>
    <t>Arrêt</t>
  </si>
  <si>
    <t>non</t>
  </si>
  <si>
    <t xml:space="preserve">  Nbre de paiments par année</t>
  </si>
  <si>
    <t>Taux de la déduction pour amortissement</t>
  </si>
  <si>
    <t>le 15 janvier 2001</t>
  </si>
  <si>
    <t>Révisé le 11 février 2005</t>
  </si>
  <si>
    <t>de l'université du Missouri et de l'Iowa State University</t>
  </si>
  <si>
    <t>Adaptation canadienne par Rob Gamble, MAAO</t>
  </si>
  <si>
    <t>Nombre d'heures d'utilisation par année prévu dans le bail</t>
  </si>
  <si>
    <t>Paiements composés par année</t>
  </si>
  <si>
    <t>La location est moins coûteuse par:</t>
  </si>
  <si>
    <t>Ce tableau vous permet de calculer et choisir le nombre d'heures d'utilisation optimal quand vous considérez un contrat de location d'équipment. Obtenez l'information requise auprès de votre détaillant et remplissez les cellules jaunes.</t>
  </si>
  <si>
    <t>Prix de base du bail</t>
  </si>
  <si>
    <t>Indiquer le prix</t>
  </si>
  <si>
    <t>Information sur le prêt</t>
  </si>
  <si>
    <t>Durée du prêt (années)</t>
  </si>
  <si>
    <t>Périodes de calcul des intérêts par année</t>
  </si>
  <si>
    <t>Frais de prêt</t>
  </si>
  <si>
    <r>
      <t>Taux marginal d'imposition</t>
    </r>
    <r>
      <rPr>
        <vertAlign val="superscript"/>
        <sz val="12"/>
        <rFont val="Arial"/>
        <family val="2"/>
      </rPr>
      <t>2</t>
    </r>
  </si>
  <si>
    <r>
      <t>Montant de base aux fins de l'impôt</t>
    </r>
    <r>
      <rPr>
        <vertAlign val="superscript"/>
        <sz val="12"/>
        <rFont val="Arial"/>
        <family val="2"/>
      </rPr>
      <t>1</t>
    </r>
  </si>
  <si>
    <t>Information aux fins de l'impôt</t>
  </si>
  <si>
    <t>Taux de l'impôt sur les gains en capital</t>
  </si>
  <si>
    <t>Facteur d'actualisation</t>
  </si>
  <si>
    <t>Inflation annuelle</t>
  </si>
  <si>
    <r>
      <t>1</t>
    </r>
    <r>
      <rPr>
        <sz val="12"/>
        <rFont val="Arial"/>
        <family val="2"/>
      </rPr>
      <t>Remarque  : ne tient pas compte de la dépréciation lors de reprises</t>
    </r>
  </si>
  <si>
    <r>
      <t>2</t>
    </r>
    <r>
      <rPr>
        <sz val="12"/>
        <rFont val="Arial"/>
        <family val="2"/>
      </rPr>
      <t>Le taux marginal est uniquement un impôt sur le revenu; il ne comprend par l'impôt des travailleurs autonomes.</t>
    </r>
  </si>
  <si>
    <t xml:space="preserve">Utilisez le menu déroulant de cette boîte pour sélectionner un type d'équipement </t>
  </si>
  <si>
    <t xml:space="preserve">tracteur de 150 cv ou plus </t>
  </si>
  <si>
    <t>tracteur de 30 à 79 cv</t>
  </si>
  <si>
    <t>tracteur de 80 à 149 cv</t>
  </si>
  <si>
    <t>ramasseuse-presse</t>
  </si>
  <si>
    <t>ramasseuse-égreneuse</t>
  </si>
  <si>
    <t>pulvériseur</t>
  </si>
  <si>
    <t>épandeur de fumier</t>
  </si>
  <si>
    <t>semoir</t>
  </si>
  <si>
    <t>charrue</t>
  </si>
  <si>
    <t>chargeur à direction différentielle</t>
  </si>
  <si>
    <t>andaineuse</t>
  </si>
  <si>
    <t>Coefficients Cross et Perry</t>
  </si>
  <si>
    <t>Achat RV</t>
  </si>
  <si>
    <t>Bail RV</t>
  </si>
  <si>
    <t>Facteur de dépréciation</t>
  </si>
  <si>
    <t>Taux de dépréciation</t>
  </si>
  <si>
    <t>Valeur de l’actif</t>
  </si>
  <si>
    <t>Année du prêt</t>
  </si>
  <si>
    <t>Instructions :</t>
  </si>
  <si>
    <t>3) Le sommaire des dépenses en espèces et des dépenses économiques est présenté sous la table d'entrée des données. Les cellules bleues résument la valeur nette actuelle de la décision.</t>
  </si>
  <si>
    <t>4) Les tableaux situés sous le sommaire contiennent les calculs détaillés. Examinez ces tableaux pour analyser les résultats du sommaire. Si le sommaire présente des résultats qui vous semblent erronnés, vérifiez dans ces tableaux pour déceler une éventuelle erreur.</t>
  </si>
  <si>
    <t>1) Entrez des données dans les cellules jaunes; n'entrez rien dans les autres cellules car elles contiennent des formules.</t>
  </si>
  <si>
    <t>Hypothèses :</t>
  </si>
  <si>
    <t xml:space="preserve">La période maximale de l'analyse est de 10 ans </t>
  </si>
  <si>
    <t>Valeur de récupération</t>
  </si>
  <si>
    <t>Facteur d'ajustement de la valeur de récupération</t>
  </si>
  <si>
    <t>2) La valeur de récupération est calculée automatiquement. Si vous désirez modifier cette valeur, utilisez la cellule du facteur de rajustement. N'écrivez rien dans la cellule où figure le calcul de la valeur!</t>
  </si>
  <si>
    <t>Si la période de la location est inférieure à celle de l'achat, des années supplémentaires de location sont ajoutées par cumul. 
Aucun prêt pluri-annuel n'est ajouté. 
Si l'équipement est acheté à la fin du bail, un prêt pour le montant total est utilisé.</t>
  </si>
  <si>
    <t>La valeur de reprise est traitée comme de l'argent comptant puisque le matériel peut être vendu s'il n'est pas repris (ce qui donne 
un flux monétaire positif).</t>
  </si>
  <si>
    <t xml:space="preserve">Quel type de bail d'équipement voulez-vous analyser? </t>
  </si>
  <si>
    <t>Années écoulées jusqu'à la vente</t>
  </si>
  <si>
    <t>Résumé de l'analyse du bail</t>
  </si>
  <si>
    <t xml:space="preserve">Fin du bail avec option d'achat </t>
  </si>
  <si>
    <t>Valeur estimée à la fin du bail</t>
  </si>
  <si>
    <t>Durée du bail (années)</t>
  </si>
  <si>
    <t>Heures d'utilisation par année selon le contrat</t>
  </si>
  <si>
    <t>Heures d'utilisation réelles durant l'année</t>
  </si>
  <si>
    <t>Coût des heures d'utilisation supplémentaires ($/cv h)</t>
  </si>
  <si>
    <t>Puissance de l'équipement (cv)</t>
  </si>
  <si>
    <t>Impôt foncier/année, si payé par l'agriculteur</t>
  </si>
  <si>
    <t>Option d'achat choisie? (oui or non)</t>
  </si>
  <si>
    <t>Financement de l'option d'achat? (oui or non)</t>
  </si>
  <si>
    <t>Terme du prêt, si financement (années)</t>
  </si>
  <si>
    <t xml:space="preserve">Commission sur prêt </t>
  </si>
  <si>
    <t>Sommaire du flux monétaire</t>
  </si>
  <si>
    <t>Achat - flux monétaire net</t>
  </si>
  <si>
    <t>Bail - flux monétaire net</t>
  </si>
  <si>
    <t>Différence (achat - bail)</t>
  </si>
  <si>
    <t>Flux monétaire de l'achat</t>
  </si>
  <si>
    <t>Décaissement</t>
  </si>
  <si>
    <t>Paiements de l'achat</t>
  </si>
  <si>
    <t>Capital</t>
  </si>
  <si>
    <t>Remboursement du prêt avant terme en raison de la vente</t>
  </si>
  <si>
    <t>Impôt sur les gains en capital découlant de la vente</t>
  </si>
  <si>
    <t>Récupération de l'amortissement</t>
  </si>
  <si>
    <t>La récupération de l'amortissement est ignorée lors de la première reprise (sa valeur est de zéro).</t>
  </si>
  <si>
    <t>Total des décaissements</t>
  </si>
  <si>
    <t>Déductions et encaisses</t>
  </si>
  <si>
    <t>Les déductions sont inscrites l'année où elles sont reçues et non l'année ou elles sont engagées.</t>
  </si>
  <si>
    <t>Montant des déductions d'impôt</t>
  </si>
  <si>
    <t>Déduction pour perte de capital</t>
  </si>
  <si>
    <t>Total des déductions et de l'encaisse</t>
  </si>
  <si>
    <t>Flux monétaire net après impôt</t>
  </si>
  <si>
    <t>Remarque : on suppose que les frais de réparations et d'assurance sont les mêmes dans tous les scénarios</t>
  </si>
  <si>
    <t>Dépenses liées au bail et flux monétaire</t>
  </si>
  <si>
    <t>Paiements de base du bail</t>
  </si>
  <si>
    <t>Impôt foncier, si payé par l'agriculteur</t>
  </si>
  <si>
    <t>Déductions d'impôt</t>
  </si>
  <si>
    <t>Paiement net du bail</t>
  </si>
  <si>
    <t>Flux monétaire du bail lors de l'exercice de l'option d'achat</t>
  </si>
  <si>
    <t xml:space="preserve">  Capital</t>
  </si>
  <si>
    <t>Déductions et encaisse</t>
  </si>
  <si>
    <t>Déduction en vertu de l'article 179</t>
  </si>
  <si>
    <t>Total net après décaisement des impôts</t>
  </si>
  <si>
    <t>Flux monétaire net du bail et de l'achat</t>
  </si>
  <si>
    <t>La section suivante du tableur est utilisée pour calculer tous les paiements</t>
  </si>
  <si>
    <t>Ne modifiez aucun des chiffres apparaissant dans cette section!</t>
  </si>
  <si>
    <t>Données saisies dans la section d'entrée</t>
  </si>
  <si>
    <t>Nombre de paiements à ajouter</t>
  </si>
  <si>
    <t>Autre formule de calcul</t>
  </si>
  <si>
    <t>Heures par année / Nombre total d'heures</t>
  </si>
  <si>
    <t>Machine louée</t>
  </si>
  <si>
    <t>Amortissement des déductions</t>
  </si>
  <si>
    <t>Déduction d'impôt</t>
  </si>
  <si>
    <t>Déductions pour intérêts et impôts fonciers</t>
  </si>
  <si>
    <t xml:space="preserve">  Déduction pour perte de capital</t>
  </si>
  <si>
    <t>Calculs d'impôt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</si>
</sst>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00_);_(&quot;$&quot;* \(#,##0.00\);_(&quot;$&quot;* &quot;-&quot;??_);_(@_)"/>
    <numFmt numFmtId="168" formatCode="_(* #,##0.00_);_(* \(#,##0.00\);_(* &quot;-&quot;??_);_(@_)"/>
    <numFmt numFmtId="169" formatCode="0.0000_)"/>
    <numFmt numFmtId="170" formatCode="0.00_)"/>
    <numFmt numFmtId="171" formatCode="0_)"/>
    <numFmt numFmtId="172" formatCode="0.000"/>
    <numFmt numFmtId="173" formatCode="_(* #,##0_);_(* \(#,##0\);_(* &quot;-&quot;??_);_(@_)"/>
    <numFmt numFmtId="174" formatCode="0.00000"/>
    <numFmt numFmtId="175" formatCode="_-* #,##0_-;\-* #,##0_-;_-* &quot;-&quot;??_-;_-@_-"/>
    <numFmt numFmtId="176" formatCode="_-* #,##0.0_-;\-* #,##0.0_-;_-* &quot;-&quot;??_-;_-@_-"/>
    <numFmt numFmtId="177" formatCode="_-&quot;$&quot;* #,##0_-;\-&quot;$&quot;* #,##0_-;_-&quot;$&quot;* &quot;-&quot;??_-;_-@_-"/>
    <numFmt numFmtId="178" formatCode=";;;"/>
    <numFmt numFmtId="179" formatCode="#,##0.0"/>
    <numFmt numFmtId="180" formatCode="mmmm\ d\,\ yyyy"/>
    <numFmt numFmtId="181" formatCode="0.0%"/>
    <numFmt numFmtId="182" formatCode="&quot;$&quot;#,##0.0000_);\(&quot;$&quot;#,##0.0000\)"/>
    <numFmt numFmtId="183" formatCode="#,##0\ [$$-C0C]_-"/>
    <numFmt numFmtId="184" formatCode="#,##0.00\ [$$-C0C]_-;#,##0.00\ [$$-C0C]\-"/>
    <numFmt numFmtId="185" formatCode="_-* #,##0.00\ [$$-C0C]_-;_-* #,##0.00\ [$$-C0C]\-;_-* &quot;-&quot;??\ [$$-C0C]_-;_-@_-"/>
    <numFmt numFmtId="186" formatCode="_-* #,##0\ [$$-C0C]_-;_-* #,##0\ [$$-C0C]\-;_-* &quot;-&quot;\ [$$-C0C]_-;_-@_-"/>
  </numFmts>
  <fonts count="100">
    <font>
      <sz val="10"/>
      <name val="Arial"/>
      <family val="0"/>
    </font>
    <font>
      <sz val="11"/>
      <color indexed="8"/>
      <name val="Calibri"/>
      <family val="2"/>
    </font>
    <font>
      <sz val="12"/>
      <name val="Arial"/>
      <family val="2"/>
    </font>
    <font>
      <sz val="10"/>
      <name val="Times New Roman"/>
      <family val="1"/>
    </font>
    <font>
      <sz val="18"/>
      <name val="Arial"/>
      <family val="2"/>
    </font>
    <font>
      <b/>
      <sz val="10"/>
      <name val="Times New Roman"/>
      <family val="1"/>
    </font>
    <font>
      <sz val="10"/>
      <color indexed="12"/>
      <name val="Times New Roman"/>
      <family val="1"/>
    </font>
    <font>
      <b/>
      <sz val="10"/>
      <name val="Arial"/>
      <family val="2"/>
    </font>
    <font>
      <sz val="10"/>
      <color indexed="39"/>
      <name val="Arial"/>
      <family val="2"/>
    </font>
    <font>
      <sz val="10"/>
      <color indexed="10"/>
      <name val="Arial"/>
      <family val="2"/>
    </font>
    <font>
      <sz val="10"/>
      <color indexed="48"/>
      <name val="Arial"/>
      <family val="2"/>
    </font>
    <font>
      <sz val="9"/>
      <name val="Arial"/>
      <family val="2"/>
    </font>
    <font>
      <sz val="10"/>
      <color indexed="8"/>
      <name val="Arial"/>
      <family val="2"/>
    </font>
    <font>
      <sz val="14"/>
      <color indexed="18"/>
      <name val="Arial"/>
      <family val="2"/>
    </font>
    <font>
      <sz val="9"/>
      <color indexed="18"/>
      <name val="Arial"/>
      <family val="2"/>
    </font>
    <font>
      <u val="single"/>
      <sz val="9"/>
      <name val="Arial"/>
      <family val="2"/>
    </font>
    <font>
      <b/>
      <sz val="9"/>
      <color indexed="56"/>
      <name val="Arial"/>
      <family val="2"/>
    </font>
    <font>
      <b/>
      <sz val="10"/>
      <color indexed="12"/>
      <name val="MS Sans Serif"/>
      <family val="2"/>
    </font>
    <font>
      <b/>
      <sz val="9"/>
      <color indexed="10"/>
      <name val="Arial"/>
      <family val="2"/>
    </font>
    <font>
      <b/>
      <sz val="9"/>
      <name val="Arial"/>
      <family val="2"/>
    </font>
    <font>
      <b/>
      <sz val="10"/>
      <color indexed="16"/>
      <name val="Arial"/>
      <family val="2"/>
    </font>
    <font>
      <b/>
      <sz val="11"/>
      <name val="Arial"/>
      <family val="2"/>
    </font>
    <font>
      <b/>
      <sz val="10"/>
      <color indexed="39"/>
      <name val="Arial"/>
      <family val="2"/>
    </font>
    <font>
      <b/>
      <sz val="12"/>
      <name val="Arial"/>
      <family val="2"/>
    </font>
    <font>
      <sz val="16"/>
      <name val="Arial"/>
      <family val="2"/>
    </font>
    <font>
      <sz val="10"/>
      <color indexed="12"/>
      <name val="Arial"/>
      <family val="2"/>
    </font>
    <font>
      <sz val="9"/>
      <name val="Times New Roman"/>
      <family val="1"/>
    </font>
    <font>
      <b/>
      <sz val="9"/>
      <color indexed="9"/>
      <name val="Arial"/>
      <family val="2"/>
    </font>
    <font>
      <sz val="9"/>
      <color indexed="12"/>
      <name val="Arial"/>
      <family val="2"/>
    </font>
    <font>
      <b/>
      <sz val="18"/>
      <name val="Arial"/>
      <family val="2"/>
    </font>
    <font>
      <b/>
      <sz val="12"/>
      <color indexed="9"/>
      <name val="Arial"/>
      <family val="2"/>
    </font>
    <font>
      <b/>
      <i/>
      <sz val="11"/>
      <color indexed="9"/>
      <name val="Arial"/>
      <family val="2"/>
    </font>
    <font>
      <sz val="12"/>
      <color indexed="18"/>
      <name val="Arial"/>
      <family val="2"/>
    </font>
    <font>
      <b/>
      <sz val="14"/>
      <name val="Arial"/>
      <family val="2"/>
    </font>
    <font>
      <b/>
      <sz val="14"/>
      <color indexed="9"/>
      <name val="Arial"/>
      <family val="2"/>
    </font>
    <font>
      <vertAlign val="superscript"/>
      <sz val="12"/>
      <name val="Arial"/>
      <family val="2"/>
    </font>
    <font>
      <sz val="12"/>
      <color indexed="9"/>
      <name val="Arial"/>
      <family val="2"/>
    </font>
    <font>
      <b/>
      <sz val="16"/>
      <name val="Arial"/>
      <family val="2"/>
    </font>
    <font>
      <sz val="12"/>
      <color indexed="12"/>
      <name val="Arial"/>
      <family val="2"/>
    </font>
    <font>
      <sz val="7"/>
      <name val="Tahoma"/>
      <family val="2"/>
    </font>
    <font>
      <sz val="8"/>
      <color indexed="12"/>
      <name val="Helv"/>
      <family val="0"/>
    </font>
    <font>
      <sz val="9"/>
      <color indexed="8"/>
      <name val="Arial"/>
      <family val="2"/>
    </font>
    <font>
      <b/>
      <sz val="16"/>
      <color indexed="10"/>
      <name val="Arial"/>
      <family val="2"/>
    </font>
    <font>
      <sz val="9"/>
      <color indexed="9"/>
      <name val="Arial"/>
      <family val="2"/>
    </font>
    <font>
      <b/>
      <sz val="8"/>
      <color indexed="10"/>
      <name val="Arial"/>
      <family val="2"/>
    </font>
    <font>
      <b/>
      <sz val="8"/>
      <color indexed="8"/>
      <name val="Helv"/>
      <family val="0"/>
    </font>
    <font>
      <sz val="9"/>
      <color indexed="8"/>
      <name val="MS Sans Serif"/>
      <family val="2"/>
    </font>
    <font>
      <sz val="9"/>
      <color indexed="9"/>
      <name val="MS Sans Serif"/>
      <family val="2"/>
    </font>
    <font>
      <sz val="9"/>
      <color indexed="34"/>
      <name val="MS Sans Serif"/>
      <family val="2"/>
    </font>
    <font>
      <sz val="9"/>
      <color indexed="10"/>
      <name val="Arial"/>
      <family val="2"/>
    </font>
    <font>
      <b/>
      <sz val="11"/>
      <color indexed="10"/>
      <name val="Arial"/>
      <family val="2"/>
    </font>
    <font>
      <b/>
      <sz val="9"/>
      <name val="Tahoma"/>
      <family val="2"/>
    </font>
    <font>
      <b/>
      <sz val="10"/>
      <color indexed="18"/>
      <name val="Arial"/>
      <family val="2"/>
    </font>
    <font>
      <i/>
      <sz val="10"/>
      <color indexed="18"/>
      <name val="Arial"/>
      <family val="2"/>
    </font>
    <font>
      <i/>
      <sz val="10"/>
      <name val="Arial"/>
      <family val="2"/>
    </font>
    <font>
      <sz val="10"/>
      <color indexed="18"/>
      <name val="Arial"/>
      <family val="2"/>
    </font>
    <font>
      <b/>
      <i/>
      <sz val="10"/>
      <color indexed="18"/>
      <name val="Arial"/>
      <family val="2"/>
    </font>
    <font>
      <sz val="11"/>
      <name val="Arial"/>
      <family val="2"/>
    </font>
    <font>
      <sz val="8"/>
      <name val="Times New Roman"/>
      <family val="1"/>
    </font>
    <font>
      <sz val="9"/>
      <name val="Tahoma"/>
      <family val="2"/>
    </font>
    <font>
      <sz val="11"/>
      <color indexed="8"/>
      <name val="Arial"/>
      <family val="2"/>
    </font>
    <font>
      <b/>
      <sz val="8"/>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63"/>
      <name val="Arial"/>
      <family val="2"/>
    </font>
    <font>
      <b/>
      <sz val="10"/>
      <color indexed="8"/>
      <name val="Arial"/>
      <family val="2"/>
    </font>
    <font>
      <b/>
      <sz val="12"/>
      <color indexed="8"/>
      <name val="Arial"/>
      <family val="2"/>
    </font>
    <font>
      <sz val="12.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4"/>
        <bgColor indexed="64"/>
      </patternFill>
    </fill>
    <fill>
      <patternFill patternType="solid">
        <fgColor indexed="40"/>
        <bgColor indexed="64"/>
      </patternFill>
    </fill>
    <fill>
      <patternFill patternType="solid">
        <fgColor indexed="47"/>
        <bgColor indexed="64"/>
      </patternFill>
    </fill>
    <fill>
      <patternFill patternType="solid">
        <fgColor indexed="42"/>
        <bgColor indexed="64"/>
      </patternFill>
    </fill>
    <fill>
      <patternFill patternType="solid">
        <fgColor indexed="61"/>
        <bgColor indexed="64"/>
      </patternFill>
    </fill>
    <fill>
      <patternFill patternType="solid">
        <fgColor indexed="18"/>
        <bgColor indexed="64"/>
      </patternFill>
    </fill>
    <fill>
      <patternFill patternType="solid">
        <fgColor indexed="43"/>
        <bgColor indexed="64"/>
      </patternFill>
    </fill>
    <fill>
      <patternFill patternType="solid">
        <fgColor indexed="11"/>
        <bgColor indexed="64"/>
      </patternFill>
    </fill>
    <fill>
      <patternFill patternType="solid">
        <fgColor indexed="39"/>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61"/>
        <bgColor indexed="64"/>
      </patternFill>
    </fill>
    <fill>
      <patternFill patternType="solid">
        <fgColor indexed="55"/>
        <bgColor indexed="64"/>
      </patternFill>
    </fill>
    <fill>
      <patternFill patternType="solid">
        <fgColor indexed="22"/>
        <bgColor indexed="64"/>
      </patternFill>
    </fill>
    <fill>
      <patternFill patternType="solid">
        <fgColor indexed="54"/>
        <bgColor indexed="64"/>
      </patternFill>
    </fill>
    <fill>
      <patternFill patternType="solid">
        <fgColor indexed="46"/>
        <bgColor indexed="64"/>
      </patternFill>
    </fill>
    <fill>
      <patternFill patternType="solid">
        <fgColor rgb="FFCC99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color indexed="8"/>
      </top>
      <bottom style="medium">
        <color indexed="8"/>
      </bottom>
    </border>
    <border>
      <left style="medium">
        <color indexed="8"/>
      </left>
      <right/>
      <top/>
      <bottom style="medium">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top/>
      <bottom/>
    </border>
    <border>
      <left/>
      <right/>
      <top/>
      <bottom style="thin">
        <color indexed="40"/>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right style="thin"/>
      <top style="thin"/>
      <bottom style="thin"/>
    </border>
    <border>
      <left/>
      <right/>
      <top/>
      <bottom style="thin">
        <color indexed="8"/>
      </bottom>
    </border>
    <border>
      <left/>
      <right style="thin">
        <color indexed="8"/>
      </right>
      <top style="thin">
        <color indexed="8"/>
      </top>
      <bottom style="thin">
        <color indexed="8"/>
      </bottom>
    </border>
    <border>
      <left/>
      <right/>
      <top style="thin">
        <color indexed="23"/>
      </top>
      <bottom/>
    </border>
    <border>
      <left/>
      <right/>
      <top style="medium">
        <color indexed="23"/>
      </top>
      <bottom style="medium">
        <color indexed="23"/>
      </bottom>
    </border>
    <border>
      <left/>
      <right/>
      <top/>
      <bottom style="medium">
        <color indexed="23"/>
      </bottom>
    </border>
    <border>
      <left/>
      <right/>
      <top/>
      <bottom style="medium">
        <color indexed="8"/>
      </bottom>
    </border>
    <border>
      <left style="thick">
        <color indexed="8"/>
      </left>
      <right/>
      <top/>
      <bottom style="medium">
        <color indexed="8"/>
      </bottom>
    </border>
    <border>
      <left/>
      <right style="thick">
        <color indexed="8"/>
      </right>
      <top/>
      <bottom style="medium">
        <color indexed="8"/>
      </bottom>
    </border>
    <border>
      <left/>
      <right style="thick">
        <color indexed="8"/>
      </right>
      <top/>
      <bottom/>
    </border>
    <border>
      <left style="thick">
        <color indexed="8"/>
      </left>
      <right/>
      <top/>
      <bottom/>
    </border>
    <border>
      <left/>
      <right/>
      <top/>
      <bottom style="thick">
        <color indexed="8"/>
      </bottom>
    </border>
    <border>
      <left/>
      <right style="thick">
        <color indexed="8"/>
      </right>
      <top/>
      <bottom style="thick">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color indexed="40"/>
      </bottom>
    </border>
    <border>
      <left style="medium"/>
      <right/>
      <top/>
      <bottom style="thin"/>
    </border>
    <border>
      <left style="medium"/>
      <right/>
      <top/>
      <bottom style="medium"/>
    </border>
    <border>
      <left/>
      <right/>
      <top/>
      <bottom style="medium"/>
    </border>
    <border>
      <left/>
      <right style="medium"/>
      <top/>
      <bottom style="medium"/>
    </border>
    <border>
      <left style="medium">
        <color indexed="8"/>
      </left>
      <right/>
      <top style="medium">
        <color indexed="8"/>
      </top>
      <bottom style="medium">
        <color indexed="8"/>
      </bottom>
    </border>
    <border>
      <left/>
      <right/>
      <top style="medium"/>
      <bottom style="medium"/>
    </border>
    <border>
      <left/>
      <right style="medium">
        <color indexed="8"/>
      </right>
      <top style="medium"/>
      <bottom style="medium"/>
    </border>
    <border>
      <left style="medium"/>
      <right/>
      <top style="thin"/>
      <bottom style="medium"/>
    </border>
    <border>
      <left/>
      <right/>
      <top style="thin"/>
      <bottom style="medium"/>
    </border>
    <border>
      <left/>
      <right style="medium">
        <color indexed="8"/>
      </right>
      <top/>
      <bottom style="medium">
        <color indexed="8"/>
      </bottom>
    </border>
    <border>
      <left/>
      <right/>
      <top style="medium"/>
      <bottom style="thin"/>
    </border>
    <border>
      <left/>
      <right style="medium">
        <color indexed="8"/>
      </right>
      <top style="medium">
        <color indexed="8"/>
      </top>
      <bottom style="medium">
        <color indexed="8"/>
      </bottom>
    </border>
    <border>
      <left/>
      <right style="thin"/>
      <top/>
      <bottom style="thin">
        <color indexed="40"/>
      </bottom>
    </border>
    <border>
      <left/>
      <right style="medium">
        <color indexed="8"/>
      </right>
      <top/>
      <bottom/>
    </border>
    <border>
      <left/>
      <right/>
      <top style="medium">
        <color indexed="55"/>
      </top>
      <bottom/>
    </border>
    <border>
      <left/>
      <right style="medium">
        <color indexed="8"/>
      </right>
      <top style="medium">
        <color indexed="55"/>
      </top>
      <bottom/>
    </border>
    <border>
      <left style="thick">
        <color indexed="8"/>
      </left>
      <right/>
      <top/>
      <bottom style="thick">
        <color indexed="8"/>
      </bottom>
    </border>
    <border>
      <left style="medium">
        <color indexed="8"/>
      </left>
      <right/>
      <top style="medium">
        <color indexed="8"/>
      </top>
      <bottom/>
    </border>
    <border>
      <left style="medium">
        <color indexed="8"/>
      </left>
      <right/>
      <top style="medium">
        <color indexed="55"/>
      </top>
      <bottom/>
    </border>
    <border>
      <left style="medium">
        <color indexed="8"/>
      </left>
      <right/>
      <top style="medium">
        <color indexed="8"/>
      </top>
      <bottom style="thin">
        <color indexed="8"/>
      </bottom>
    </border>
    <border>
      <left/>
      <right/>
      <top style="medium">
        <color indexed="23"/>
      </top>
      <bottom/>
    </border>
    <border>
      <left/>
      <right/>
      <top style="thick">
        <color indexed="8"/>
      </top>
      <bottom style="medium"/>
    </border>
    <border>
      <left style="thick">
        <color indexed="8"/>
      </left>
      <right/>
      <top style="thick">
        <color indexed="8"/>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3" fillId="0" borderId="0">
      <alignment/>
      <protection/>
    </xf>
    <xf numFmtId="0" fontId="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550">
    <xf numFmtId="0" fontId="0" fillId="0" borderId="0" xfId="0" applyAlignment="1">
      <alignment/>
    </xf>
    <xf numFmtId="0" fontId="3" fillId="33" borderId="0" xfId="55" applyFill="1">
      <alignment/>
      <protection/>
    </xf>
    <xf numFmtId="0" fontId="3" fillId="0" borderId="0" xfId="55" applyFill="1">
      <alignment/>
      <protection/>
    </xf>
    <xf numFmtId="0" fontId="3" fillId="0" borderId="0" xfId="55">
      <alignment/>
      <protection/>
    </xf>
    <xf numFmtId="0" fontId="4" fillId="34" borderId="0" xfId="55" applyFont="1" applyFill="1">
      <alignment/>
      <protection/>
    </xf>
    <xf numFmtId="0" fontId="3" fillId="34" borderId="0" xfId="55" applyFill="1">
      <alignment/>
      <protection/>
    </xf>
    <xf numFmtId="0" fontId="2" fillId="0" borderId="0" xfId="55" applyFont="1">
      <alignment/>
      <protection/>
    </xf>
    <xf numFmtId="0" fontId="7" fillId="35" borderId="10" xfId="55" applyFont="1" applyFill="1" applyBorder="1">
      <alignment/>
      <protection/>
    </xf>
    <xf numFmtId="0" fontId="3" fillId="0" borderId="10" xfId="55" applyBorder="1">
      <alignment/>
      <protection/>
    </xf>
    <xf numFmtId="175" fontId="8" fillId="0" borderId="10" xfId="42" applyNumberFormat="1" applyFont="1" applyBorder="1" applyAlignment="1" applyProtection="1">
      <alignment/>
      <protection locked="0"/>
    </xf>
    <xf numFmtId="1" fontId="8" fillId="0" borderId="10" xfId="42" applyNumberFormat="1" applyFont="1" applyBorder="1" applyAlignment="1" applyProtection="1">
      <alignment/>
      <protection locked="0"/>
    </xf>
    <xf numFmtId="175" fontId="9" fillId="0" borderId="10" xfId="42" applyNumberFormat="1" applyFont="1" applyBorder="1" applyAlignment="1" applyProtection="1">
      <alignment/>
      <protection/>
    </xf>
    <xf numFmtId="175" fontId="10" fillId="0" borderId="10" xfId="42" applyNumberFormat="1" applyFont="1" applyBorder="1" applyAlignment="1" applyProtection="1">
      <alignment/>
      <protection locked="0"/>
    </xf>
    <xf numFmtId="1" fontId="0" fillId="0" borderId="10" xfId="55" applyNumberFormat="1" applyFont="1" applyBorder="1">
      <alignment/>
      <protection/>
    </xf>
    <xf numFmtId="175" fontId="0" fillId="0" borderId="10" xfId="42" applyNumberFormat="1" applyFont="1" applyBorder="1" applyAlignment="1">
      <alignment/>
    </xf>
    <xf numFmtId="176" fontId="8" fillId="0" borderId="10" xfId="42" applyNumberFormat="1" applyFont="1" applyBorder="1" applyAlignment="1" applyProtection="1">
      <alignment/>
      <protection locked="0"/>
    </xf>
    <xf numFmtId="175" fontId="8" fillId="0" borderId="11" xfId="42" applyNumberFormat="1" applyFont="1" applyBorder="1" applyAlignment="1" applyProtection="1">
      <alignment/>
      <protection locked="0"/>
    </xf>
    <xf numFmtId="0" fontId="7" fillId="35" borderId="0" xfId="55" applyFont="1" applyFill="1">
      <alignment/>
      <protection/>
    </xf>
    <xf numFmtId="43" fontId="8" fillId="0" borderId="10" xfId="42" applyNumberFormat="1" applyFont="1" applyBorder="1" applyAlignment="1" applyProtection="1">
      <alignment/>
      <protection locked="0"/>
    </xf>
    <xf numFmtId="43" fontId="8" fillId="0" borderId="12" xfId="42" applyNumberFormat="1" applyFont="1" applyBorder="1" applyAlignment="1" applyProtection="1">
      <alignment/>
      <protection locked="0"/>
    </xf>
    <xf numFmtId="0" fontId="8" fillId="0" borderId="10" xfId="55" applyFont="1" applyBorder="1" applyProtection="1">
      <alignment/>
      <protection locked="0"/>
    </xf>
    <xf numFmtId="0" fontId="8" fillId="0" borderId="12" xfId="55" applyFont="1" applyBorder="1" applyProtection="1">
      <alignment/>
      <protection locked="0"/>
    </xf>
    <xf numFmtId="0" fontId="0" fillId="36" borderId="13" xfId="55" applyFont="1" applyFill="1" applyBorder="1" applyAlignment="1" applyProtection="1">
      <alignment horizontal="center"/>
      <protection locked="0"/>
    </xf>
    <xf numFmtId="175" fontId="12" fillId="0" borderId="10" xfId="42" applyNumberFormat="1" applyFont="1" applyBorder="1" applyAlignment="1" applyProtection="1">
      <alignment/>
      <protection locked="0"/>
    </xf>
    <xf numFmtId="175" fontId="12" fillId="0" borderId="12" xfId="42" applyNumberFormat="1" applyFont="1" applyBorder="1" applyAlignment="1" applyProtection="1">
      <alignment/>
      <protection locked="0"/>
    </xf>
    <xf numFmtId="2" fontId="8" fillId="36" borderId="14" xfId="55" applyNumberFormat="1" applyFont="1" applyFill="1" applyBorder="1" applyProtection="1">
      <alignment/>
      <protection locked="0"/>
    </xf>
    <xf numFmtId="0" fontId="8" fillId="0" borderId="15" xfId="55" applyFont="1" applyBorder="1" applyProtection="1">
      <alignment/>
      <protection locked="0"/>
    </xf>
    <xf numFmtId="0" fontId="3" fillId="0" borderId="0" xfId="55" applyFill="1" applyBorder="1">
      <alignment/>
      <protection/>
    </xf>
    <xf numFmtId="179" fontId="8" fillId="0" borderId="10" xfId="55" applyNumberFormat="1" applyFont="1" applyBorder="1" applyProtection="1">
      <alignment/>
      <protection locked="0"/>
    </xf>
    <xf numFmtId="3" fontId="8" fillId="0" borderId="10" xfId="55" applyNumberFormat="1" applyFont="1" applyBorder="1" applyProtection="1">
      <alignment/>
      <protection locked="0"/>
    </xf>
    <xf numFmtId="3" fontId="8" fillId="0" borderId="10" xfId="42" applyNumberFormat="1" applyFont="1" applyBorder="1" applyAlignment="1" applyProtection="1">
      <alignment/>
      <protection locked="0"/>
    </xf>
    <xf numFmtId="3" fontId="0" fillId="0" borderId="10" xfId="42" applyNumberFormat="1" applyFont="1" applyBorder="1" applyAlignment="1" applyProtection="1">
      <alignment/>
      <protection locked="0"/>
    </xf>
    <xf numFmtId="0" fontId="3" fillId="0" borderId="0" xfId="55" applyFill="1" applyBorder="1" applyAlignment="1" applyProtection="1" quotePrefix="1">
      <alignment/>
      <protection/>
    </xf>
    <xf numFmtId="0" fontId="13" fillId="0" borderId="0" xfId="55" applyFont="1" applyFill="1" applyBorder="1" applyAlignment="1" applyProtection="1" quotePrefix="1">
      <alignment horizontal="left"/>
      <protection/>
    </xf>
    <xf numFmtId="0" fontId="14" fillId="0" borderId="0" xfId="55" applyFont="1" applyFill="1" applyBorder="1" applyAlignment="1" applyProtection="1" quotePrefix="1">
      <alignment/>
      <protection/>
    </xf>
    <xf numFmtId="0" fontId="11" fillId="0" borderId="0" xfId="55" applyFont="1" applyFill="1" applyBorder="1">
      <alignment/>
      <protection/>
    </xf>
    <xf numFmtId="0" fontId="3" fillId="0" borderId="0" xfId="55" applyFill="1" applyBorder="1" applyAlignment="1">
      <alignment/>
      <protection/>
    </xf>
    <xf numFmtId="1" fontId="15" fillId="0" borderId="0" xfId="55" applyNumberFormat="1" applyFont="1" applyFill="1" applyBorder="1" applyAlignment="1" applyProtection="1">
      <alignment horizontal="right"/>
      <protection/>
    </xf>
    <xf numFmtId="0" fontId="11" fillId="0" borderId="0" xfId="55" applyFont="1" applyFill="1" applyBorder="1" applyAlignment="1" applyProtection="1" quotePrefix="1">
      <alignment/>
      <protection/>
    </xf>
    <xf numFmtId="0" fontId="3" fillId="0" borderId="0" xfId="55" applyFill="1" applyBorder="1" applyAlignment="1" applyProtection="1">
      <alignment/>
      <protection/>
    </xf>
    <xf numFmtId="0" fontId="16" fillId="0" borderId="0" xfId="55" applyFont="1" applyFill="1" applyBorder="1" applyAlignment="1">
      <alignment horizontal="right"/>
      <protection/>
    </xf>
    <xf numFmtId="4" fontId="17" fillId="0" borderId="0" xfId="55" applyNumberFormat="1" applyFont="1" applyFill="1" applyBorder="1" applyProtection="1">
      <alignment/>
      <protection locked="0"/>
    </xf>
    <xf numFmtId="4" fontId="17" fillId="0" borderId="0" xfId="42" applyNumberFormat="1" applyFont="1" applyFill="1" applyBorder="1" applyAlignment="1" applyProtection="1">
      <alignment/>
      <protection locked="0"/>
    </xf>
    <xf numFmtId="9" fontId="8" fillId="0" borderId="10" xfId="59" applyFont="1" applyBorder="1" applyAlignment="1" applyProtection="1">
      <alignment/>
      <protection locked="0"/>
    </xf>
    <xf numFmtId="0" fontId="17" fillId="0" borderId="0" xfId="42" applyNumberFormat="1" applyFont="1" applyFill="1" applyBorder="1" applyAlignment="1" applyProtection="1">
      <alignment/>
      <protection locked="0"/>
    </xf>
    <xf numFmtId="0" fontId="17" fillId="0" borderId="0" xfId="42" applyNumberFormat="1" applyFont="1" applyFill="1" applyBorder="1" applyAlignment="1" applyProtection="1">
      <alignment/>
      <protection locked="0"/>
    </xf>
    <xf numFmtId="0" fontId="0" fillId="0" borderId="10" xfId="55" applyFont="1" applyBorder="1">
      <alignment/>
      <protection/>
    </xf>
    <xf numFmtId="173" fontId="9" fillId="0" borderId="10" xfId="42" applyNumberFormat="1" applyFont="1" applyBorder="1" applyAlignment="1">
      <alignment/>
    </xf>
    <xf numFmtId="0" fontId="17" fillId="0" borderId="0" xfId="42" applyNumberFormat="1" applyFont="1" applyFill="1" applyBorder="1" applyAlignment="1" applyProtection="1">
      <alignment/>
      <protection locked="0"/>
    </xf>
    <xf numFmtId="0" fontId="18" fillId="0" borderId="0" xfId="55" applyFont="1" applyFill="1" applyBorder="1" applyAlignment="1" applyProtection="1" quotePrefix="1">
      <alignment/>
      <protection/>
    </xf>
    <xf numFmtId="0" fontId="3" fillId="0" borderId="0" xfId="55" applyFill="1" applyBorder="1" applyAlignment="1" applyProtection="1" quotePrefix="1">
      <alignment horizontal="fill"/>
      <protection/>
    </xf>
    <xf numFmtId="0" fontId="3" fillId="0" borderId="0" xfId="55" applyFill="1" applyBorder="1" applyAlignment="1" applyProtection="1">
      <alignment horizontal="fill"/>
      <protection/>
    </xf>
    <xf numFmtId="168" fontId="3" fillId="0" borderId="0" xfId="42" applyFont="1" applyFill="1" applyBorder="1" applyAlignment="1" applyProtection="1">
      <alignment horizontal="fill"/>
      <protection/>
    </xf>
    <xf numFmtId="0" fontId="7" fillId="0" borderId="10" xfId="55" applyFont="1" applyBorder="1">
      <alignment/>
      <protection/>
    </xf>
    <xf numFmtId="175" fontId="7" fillId="0" borderId="10" xfId="55" applyNumberFormat="1" applyFont="1" applyBorder="1">
      <alignment/>
      <protection/>
    </xf>
    <xf numFmtId="0" fontId="19" fillId="0" borderId="0" xfId="55" applyFont="1" applyFill="1" applyBorder="1" applyAlignment="1" applyProtection="1">
      <alignment horizontal="left"/>
      <protection/>
    </xf>
    <xf numFmtId="8" fontId="7" fillId="0" borderId="0" xfId="42" applyNumberFormat="1" applyFont="1" applyFill="1" applyBorder="1" applyAlignment="1" applyProtection="1">
      <alignment/>
      <protection/>
    </xf>
    <xf numFmtId="0" fontId="7" fillId="35" borderId="0" xfId="55" applyFont="1" applyFill="1" applyBorder="1">
      <alignment/>
      <protection/>
    </xf>
    <xf numFmtId="0" fontId="3" fillId="0" borderId="0" xfId="55" applyBorder="1">
      <alignment/>
      <protection/>
    </xf>
    <xf numFmtId="0" fontId="7" fillId="0" borderId="0" xfId="55" applyFont="1" applyFill="1" applyBorder="1" applyAlignment="1" applyProtection="1">
      <alignment/>
      <protection/>
    </xf>
    <xf numFmtId="0" fontId="5" fillId="0" borderId="0" xfId="55" applyFont="1" applyFill="1" applyBorder="1" applyAlignment="1" applyProtection="1" quotePrefix="1">
      <alignment horizontal="fill"/>
      <protection/>
    </xf>
    <xf numFmtId="0" fontId="5" fillId="0" borderId="0" xfId="55" applyFont="1" applyFill="1" applyBorder="1" applyAlignment="1" applyProtection="1">
      <alignment horizontal="fill"/>
      <protection/>
    </xf>
    <xf numFmtId="168" fontId="20" fillId="0" borderId="0" xfId="42" applyFont="1" applyFill="1" applyBorder="1" applyAlignment="1" applyProtection="1">
      <alignment/>
      <protection/>
    </xf>
    <xf numFmtId="0" fontId="5" fillId="0" borderId="0" xfId="55" applyFont="1" applyFill="1" applyBorder="1">
      <alignment/>
      <protection/>
    </xf>
    <xf numFmtId="0" fontId="3" fillId="0" borderId="0" xfId="55" applyFill="1" applyBorder="1" applyAlignment="1" applyProtection="1">
      <alignment horizontal="left"/>
      <protection/>
    </xf>
    <xf numFmtId="168" fontId="3" fillId="0" borderId="0" xfId="42" applyFont="1" applyFill="1" applyBorder="1" applyAlignment="1">
      <alignment/>
    </xf>
    <xf numFmtId="40" fontId="7" fillId="0" borderId="0" xfId="42" applyNumberFormat="1" applyFont="1" applyFill="1" applyBorder="1" applyAlignment="1" applyProtection="1">
      <alignment/>
      <protection/>
    </xf>
    <xf numFmtId="175" fontId="0" fillId="0" borderId="10" xfId="55" applyNumberFormat="1" applyFont="1" applyBorder="1">
      <alignment/>
      <protection/>
    </xf>
    <xf numFmtId="175" fontId="7" fillId="0" borderId="10" xfId="42" applyNumberFormat="1" applyFont="1" applyBorder="1" applyAlignment="1">
      <alignment/>
    </xf>
    <xf numFmtId="0" fontId="6" fillId="0" borderId="10" xfId="55" applyFont="1" applyBorder="1">
      <alignment/>
      <protection/>
    </xf>
    <xf numFmtId="0" fontId="7" fillId="37" borderId="10" xfId="55" applyFont="1" applyFill="1" applyBorder="1">
      <alignment/>
      <protection/>
    </xf>
    <xf numFmtId="175" fontId="7" fillId="37" borderId="10" xfId="55" applyNumberFormat="1" applyFont="1" applyFill="1" applyBorder="1">
      <alignment/>
      <protection/>
    </xf>
    <xf numFmtId="175" fontId="7" fillId="37" borderId="10" xfId="42" applyNumberFormat="1" applyFont="1" applyFill="1" applyBorder="1" applyAlignment="1">
      <alignment/>
    </xf>
    <xf numFmtId="167" fontId="7" fillId="37" borderId="10" xfId="44" applyFont="1" applyFill="1" applyBorder="1" applyAlignment="1">
      <alignment/>
    </xf>
    <xf numFmtId="173" fontId="0" fillId="0" borderId="10" xfId="42" applyNumberFormat="1" applyFont="1" applyBorder="1" applyAlignment="1">
      <alignment/>
    </xf>
    <xf numFmtId="0" fontId="7" fillId="36" borderId="10" xfId="55" applyFont="1" applyFill="1" applyBorder="1">
      <alignment/>
      <protection/>
    </xf>
    <xf numFmtId="167" fontId="7" fillId="36" borderId="10" xfId="44" applyFont="1" applyFill="1" applyBorder="1" applyAlignment="1">
      <alignment/>
    </xf>
    <xf numFmtId="44" fontId="7" fillId="36" borderId="10" xfId="44" applyNumberFormat="1" applyFont="1" applyFill="1" applyBorder="1" applyAlignment="1">
      <alignment/>
    </xf>
    <xf numFmtId="9" fontId="22" fillId="0" borderId="10" xfId="59" applyFont="1" applyBorder="1" applyAlignment="1" applyProtection="1">
      <alignment/>
      <protection locked="0"/>
    </xf>
    <xf numFmtId="177" fontId="0" fillId="0" borderId="10" xfId="55" applyNumberFormat="1" applyFont="1" applyBorder="1">
      <alignment/>
      <protection/>
    </xf>
    <xf numFmtId="0" fontId="3" fillId="36" borderId="0" xfId="55" applyFill="1">
      <alignment/>
      <protection/>
    </xf>
    <xf numFmtId="177" fontId="0" fillId="36" borderId="10" xfId="44" applyNumberFormat="1" applyFont="1" applyFill="1" applyBorder="1" applyAlignment="1">
      <alignment/>
    </xf>
    <xf numFmtId="2" fontId="0" fillId="0" borderId="10" xfId="55" applyNumberFormat="1" applyFont="1" applyBorder="1">
      <alignment/>
      <protection/>
    </xf>
    <xf numFmtId="44" fontId="7" fillId="36" borderId="10" xfId="55" applyNumberFormat="1" applyFont="1" applyFill="1" applyBorder="1">
      <alignment/>
      <protection/>
    </xf>
    <xf numFmtId="0" fontId="23" fillId="0" borderId="16" xfId="55" applyFont="1" applyBorder="1" applyAlignment="1" quotePrefix="1">
      <alignment horizontal="left"/>
      <protection/>
    </xf>
    <xf numFmtId="0" fontId="3" fillId="0" borderId="17" xfId="55" applyBorder="1">
      <alignment/>
      <protection/>
    </xf>
    <xf numFmtId="0" fontId="3" fillId="0" borderId="18" xfId="55" applyBorder="1">
      <alignment/>
      <protection/>
    </xf>
    <xf numFmtId="0" fontId="3" fillId="0" borderId="19" xfId="55" applyBorder="1" applyAlignment="1">
      <alignment horizontal="right"/>
      <protection/>
    </xf>
    <xf numFmtId="175" fontId="3" fillId="0" borderId="0" xfId="55" applyNumberFormat="1" applyBorder="1">
      <alignment/>
      <protection/>
    </xf>
    <xf numFmtId="0" fontId="3" fillId="0" borderId="19" xfId="55" applyBorder="1" applyAlignment="1">
      <alignment/>
      <protection/>
    </xf>
    <xf numFmtId="175" fontId="3" fillId="36" borderId="0" xfId="55" applyNumberFormat="1" applyFill="1">
      <alignment/>
      <protection/>
    </xf>
    <xf numFmtId="0" fontId="3" fillId="0" borderId="19" xfId="55" applyBorder="1" applyAlignment="1" quotePrefix="1">
      <alignment horizontal="right"/>
      <protection/>
    </xf>
    <xf numFmtId="0" fontId="3" fillId="0" borderId="20" xfId="55" applyBorder="1">
      <alignment/>
      <protection/>
    </xf>
    <xf numFmtId="173" fontId="3" fillId="0" borderId="0" xfId="55" applyNumberFormat="1" applyBorder="1">
      <alignment/>
      <protection/>
    </xf>
    <xf numFmtId="173" fontId="3" fillId="0" borderId="0" xfId="42" applyNumberFormat="1" applyFont="1" applyBorder="1" applyAlignment="1">
      <alignment/>
    </xf>
    <xf numFmtId="175" fontId="3" fillId="0" borderId="0" xfId="42" applyNumberFormat="1" applyFont="1" applyBorder="1" applyAlignment="1">
      <alignment/>
    </xf>
    <xf numFmtId="177" fontId="7" fillId="0" borderId="0" xfId="44" applyNumberFormat="1" applyFont="1" applyBorder="1" applyAlignment="1">
      <alignment/>
    </xf>
    <xf numFmtId="0" fontId="3" fillId="0" borderId="21" xfId="55" applyBorder="1">
      <alignment/>
      <protection/>
    </xf>
    <xf numFmtId="0" fontId="3" fillId="0" borderId="22" xfId="55" applyBorder="1">
      <alignment/>
      <protection/>
    </xf>
    <xf numFmtId="0" fontId="3" fillId="0" borderId="23" xfId="55" applyBorder="1">
      <alignment/>
      <protection/>
    </xf>
    <xf numFmtId="0" fontId="26" fillId="0" borderId="0" xfId="55" applyFont="1">
      <alignment/>
      <protection/>
    </xf>
    <xf numFmtId="0" fontId="2" fillId="0" borderId="0" xfId="56">
      <alignment/>
      <protection/>
    </xf>
    <xf numFmtId="0" fontId="29" fillId="0" borderId="0" xfId="56" applyFont="1" applyAlignment="1">
      <alignment horizontal="centerContinuous"/>
      <protection/>
    </xf>
    <xf numFmtId="0" fontId="2" fillId="0" borderId="0" xfId="56" applyFont="1">
      <alignment/>
      <protection/>
    </xf>
    <xf numFmtId="0" fontId="23" fillId="0" borderId="0" xfId="56" applyFont="1" applyAlignment="1">
      <alignment horizontal="centerContinuous"/>
      <protection/>
    </xf>
    <xf numFmtId="0" fontId="2" fillId="0" borderId="0" xfId="56" applyAlignment="1">
      <alignment horizontal="centerContinuous"/>
      <protection/>
    </xf>
    <xf numFmtId="0" fontId="23" fillId="0" borderId="0" xfId="56" applyFont="1" applyAlignment="1">
      <alignment/>
      <protection/>
    </xf>
    <xf numFmtId="0" fontId="2" fillId="0" borderId="0" xfId="56" applyAlignment="1">
      <alignment wrapText="1"/>
      <protection/>
    </xf>
    <xf numFmtId="170" fontId="2" fillId="0" borderId="0" xfId="56" applyNumberFormat="1" applyProtection="1">
      <alignment/>
      <protection/>
    </xf>
    <xf numFmtId="170" fontId="30" fillId="38" borderId="24" xfId="56" applyNumberFormat="1" applyFont="1" applyFill="1" applyBorder="1" applyProtection="1">
      <alignment/>
      <protection/>
    </xf>
    <xf numFmtId="164" fontId="2" fillId="0" borderId="0" xfId="56" applyNumberFormat="1" applyFill="1" applyProtection="1">
      <alignment/>
      <protection/>
    </xf>
    <xf numFmtId="171" fontId="2" fillId="0" borderId="0" xfId="56" applyNumberFormat="1" applyProtection="1">
      <alignment/>
      <protection/>
    </xf>
    <xf numFmtId="166" fontId="2" fillId="0" borderId="0" xfId="56" applyNumberFormat="1">
      <alignment/>
      <protection/>
    </xf>
    <xf numFmtId="170" fontId="2" fillId="0" borderId="0" xfId="56" applyNumberFormat="1" applyBorder="1" applyProtection="1">
      <alignment/>
      <protection/>
    </xf>
    <xf numFmtId="164" fontId="2" fillId="0" borderId="0" xfId="56" applyNumberFormat="1" applyProtection="1">
      <alignment/>
      <protection/>
    </xf>
    <xf numFmtId="165" fontId="2" fillId="0" borderId="0" xfId="56" applyNumberFormat="1">
      <alignment/>
      <protection/>
    </xf>
    <xf numFmtId="170" fontId="35" fillId="0" borderId="0" xfId="56" applyNumberFormat="1" applyFont="1" applyAlignment="1" applyProtection="1" quotePrefix="1">
      <alignment horizontal="left"/>
      <protection/>
    </xf>
    <xf numFmtId="170" fontId="23" fillId="0" borderId="0" xfId="56" applyNumberFormat="1" applyFont="1" applyAlignment="1" applyProtection="1" quotePrefix="1">
      <alignment horizontal="left"/>
      <protection/>
    </xf>
    <xf numFmtId="170" fontId="30" fillId="38" borderId="24" xfId="56" applyNumberFormat="1" applyFont="1" applyFill="1" applyBorder="1" applyAlignment="1" applyProtection="1">
      <alignment horizontal="right"/>
      <protection/>
    </xf>
    <xf numFmtId="170" fontId="30" fillId="38" borderId="24" xfId="56" applyNumberFormat="1" applyFont="1" applyFill="1" applyBorder="1" applyAlignment="1" applyProtection="1">
      <alignment horizontal="center"/>
      <protection/>
    </xf>
    <xf numFmtId="170" fontId="36" fillId="39" borderId="0" xfId="56" applyNumberFormat="1" applyFont="1" applyFill="1" applyProtection="1">
      <alignment/>
      <protection/>
    </xf>
    <xf numFmtId="170" fontId="23" fillId="0" borderId="0" xfId="56" applyNumberFormat="1" applyFont="1" applyProtection="1">
      <alignment/>
      <protection/>
    </xf>
    <xf numFmtId="170" fontId="36" fillId="38" borderId="25" xfId="56" applyNumberFormat="1" applyFont="1" applyFill="1" applyBorder="1" applyProtection="1">
      <alignment/>
      <protection/>
    </xf>
    <xf numFmtId="0" fontId="30" fillId="38" borderId="26" xfId="56" applyFont="1" applyFill="1" applyBorder="1" applyAlignment="1">
      <alignment horizontal="right" wrapText="1"/>
      <protection/>
    </xf>
    <xf numFmtId="170" fontId="30" fillId="38" borderId="27" xfId="56" applyNumberFormat="1" applyFont="1" applyFill="1" applyBorder="1" applyAlignment="1" applyProtection="1">
      <alignment horizontal="center"/>
      <protection/>
    </xf>
    <xf numFmtId="164" fontId="2" fillId="0" borderId="0" xfId="56" applyNumberFormat="1" applyBorder="1" applyProtection="1">
      <alignment/>
      <protection/>
    </xf>
    <xf numFmtId="0" fontId="11" fillId="0" borderId="0" xfId="56" applyFont="1">
      <alignment/>
      <protection/>
    </xf>
    <xf numFmtId="170" fontId="2" fillId="0" borderId="0" xfId="56" applyNumberFormat="1" applyFont="1" applyProtection="1">
      <alignment/>
      <protection/>
    </xf>
    <xf numFmtId="170" fontId="2" fillId="0" borderId="0" xfId="56" applyNumberFormat="1" applyBorder="1" applyAlignment="1" applyProtection="1" quotePrefix="1">
      <alignment horizontal="left"/>
      <protection/>
    </xf>
    <xf numFmtId="9" fontId="38" fillId="40" borderId="0" xfId="59" applyFont="1" applyFill="1" applyBorder="1" applyAlignment="1" applyProtection="1">
      <alignment/>
      <protection locked="0"/>
    </xf>
    <xf numFmtId="170" fontId="2" fillId="0" borderId="10" xfId="56" applyNumberFormat="1" applyBorder="1" applyProtection="1">
      <alignment/>
      <protection/>
    </xf>
    <xf numFmtId="170" fontId="2" fillId="0" borderId="28" xfId="56" applyNumberFormat="1" applyFont="1" applyBorder="1" applyProtection="1">
      <alignment/>
      <protection/>
    </xf>
    <xf numFmtId="170" fontId="2" fillId="0" borderId="28" xfId="56" applyNumberFormat="1" applyBorder="1" applyProtection="1">
      <alignment/>
      <protection/>
    </xf>
    <xf numFmtId="9" fontId="2" fillId="0" borderId="28" xfId="59" applyFont="1" applyBorder="1" applyAlignment="1" applyProtection="1">
      <alignment/>
      <protection/>
    </xf>
    <xf numFmtId="173" fontId="2" fillId="0" borderId="28" xfId="42" applyNumberFormat="1" applyFont="1" applyBorder="1" applyAlignment="1" applyProtection="1">
      <alignment/>
      <protection/>
    </xf>
    <xf numFmtId="170" fontId="23" fillId="0" borderId="29" xfId="56" applyNumberFormat="1" applyFont="1" applyBorder="1" applyProtection="1">
      <alignment/>
      <protection/>
    </xf>
    <xf numFmtId="170" fontId="2" fillId="0" borderId="29" xfId="56" applyNumberFormat="1" applyFont="1" applyBorder="1" applyProtection="1">
      <alignment/>
      <protection/>
    </xf>
    <xf numFmtId="167" fontId="18" fillId="0" borderId="0" xfId="44" applyFont="1" applyFill="1" applyBorder="1" applyAlignment="1" applyProtection="1" quotePrefix="1">
      <alignment/>
      <protection/>
    </xf>
    <xf numFmtId="44" fontId="18" fillId="0" borderId="0" xfId="44" applyNumberFormat="1" applyFont="1" applyFill="1" applyAlignment="1" applyProtection="1">
      <alignment/>
      <protection/>
    </xf>
    <xf numFmtId="4" fontId="17" fillId="0" borderId="0" xfId="0" applyNumberFormat="1" applyFont="1" applyFill="1" applyAlignment="1" applyProtection="1">
      <alignment/>
      <protection locked="0"/>
    </xf>
    <xf numFmtId="0" fontId="17" fillId="0" borderId="0" xfId="42" applyNumberFormat="1" applyFont="1" applyFill="1" applyAlignment="1" applyProtection="1">
      <alignment/>
      <protection locked="0"/>
    </xf>
    <xf numFmtId="0" fontId="17" fillId="0" borderId="0" xfId="42" applyNumberFormat="1" applyFont="1" applyFill="1" applyAlignment="1" applyProtection="1">
      <alignment/>
      <protection locked="0"/>
    </xf>
    <xf numFmtId="168" fontId="0" fillId="0" borderId="22" xfId="42" applyFont="1" applyFill="1" applyBorder="1" applyAlignment="1" applyProtection="1">
      <alignment horizontal="fill"/>
      <protection/>
    </xf>
    <xf numFmtId="8" fontId="7" fillId="0" borderId="22" xfId="42" applyNumberFormat="1" applyFont="1" applyFill="1" applyBorder="1" applyAlignment="1" applyProtection="1">
      <alignment/>
      <protection/>
    </xf>
    <xf numFmtId="168" fontId="43" fillId="35" borderId="30" xfId="42" applyFont="1" applyFill="1" applyBorder="1" applyAlignment="1" applyProtection="1">
      <alignment/>
      <protection/>
    </xf>
    <xf numFmtId="0" fontId="41" fillId="41" borderId="0" xfId="0" applyFont="1" applyFill="1" applyBorder="1" applyAlignment="1" applyProtection="1" quotePrefix="1">
      <alignment horizontal="right"/>
      <protection/>
    </xf>
    <xf numFmtId="0" fontId="41" fillId="41" borderId="22" xfId="0" applyFont="1" applyFill="1" applyBorder="1" applyAlignment="1" applyProtection="1" quotePrefix="1">
      <alignment horizontal="right"/>
      <protection/>
    </xf>
    <xf numFmtId="40" fontId="47" fillId="42" borderId="0" xfId="42" applyNumberFormat="1" applyFont="1" applyFill="1" applyBorder="1" applyAlignment="1" applyProtection="1">
      <alignment/>
      <protection/>
    </xf>
    <xf numFmtId="170" fontId="2" fillId="0" borderId="29" xfId="56" applyNumberFormat="1" applyFill="1" applyBorder="1" applyAlignment="1" applyProtection="1">
      <alignment horizontal="left"/>
      <protection/>
    </xf>
    <xf numFmtId="170" fontId="2" fillId="0" borderId="0" xfId="56" applyNumberFormat="1" applyFont="1" applyFill="1" applyProtection="1">
      <alignment/>
      <protection/>
    </xf>
    <xf numFmtId="170" fontId="2" fillId="0" borderId="0" xfId="56" applyNumberFormat="1" applyFill="1" applyProtection="1">
      <alignment/>
      <protection/>
    </xf>
    <xf numFmtId="20" fontId="28" fillId="0" borderId="0" xfId="0" applyNumberFormat="1" applyFont="1" applyFill="1" applyAlignment="1" applyProtection="1" quotePrefix="1">
      <alignment/>
      <protection/>
    </xf>
    <xf numFmtId="10" fontId="38" fillId="0" borderId="0" xfId="59" applyNumberFormat="1" applyFont="1" applyFill="1" applyAlignment="1" applyProtection="1">
      <alignment/>
      <protection locked="0"/>
    </xf>
    <xf numFmtId="0" fontId="28" fillId="0" borderId="0" xfId="0" applyFont="1" applyFill="1" applyAlignment="1" applyProtection="1" quotePrefix="1">
      <alignment/>
      <protection/>
    </xf>
    <xf numFmtId="171" fontId="38" fillId="0" borderId="0" xfId="56" applyNumberFormat="1" applyFont="1" applyFill="1" applyProtection="1">
      <alignment/>
      <protection locked="0"/>
    </xf>
    <xf numFmtId="0" fontId="28" fillId="0" borderId="0" xfId="0" applyFont="1" applyFill="1" applyAlignment="1" applyProtection="1">
      <alignment/>
      <protection/>
    </xf>
    <xf numFmtId="171" fontId="38" fillId="0" borderId="0" xfId="56" applyNumberFormat="1" applyFont="1" applyFill="1" applyProtection="1">
      <alignment/>
      <protection/>
    </xf>
    <xf numFmtId="0" fontId="28" fillId="0" borderId="0" xfId="0" applyFont="1" applyFill="1" applyAlignment="1">
      <alignment/>
    </xf>
    <xf numFmtId="0" fontId="0" fillId="0" borderId="0" xfId="0" applyFill="1" applyAlignment="1">
      <alignment/>
    </xf>
    <xf numFmtId="0" fontId="25" fillId="0" borderId="0" xfId="0" applyFont="1" applyFill="1" applyAlignment="1" quotePrefix="1">
      <alignment horizontal="center"/>
    </xf>
    <xf numFmtId="178" fontId="28" fillId="0" borderId="0" xfId="0" applyNumberFormat="1" applyFont="1" applyFill="1" applyAlignment="1">
      <alignment/>
    </xf>
    <xf numFmtId="0" fontId="28" fillId="0" borderId="0" xfId="0" applyFont="1" applyFill="1" applyAlignment="1" quotePrefix="1">
      <alignment horizontal="center"/>
    </xf>
    <xf numFmtId="0" fontId="28" fillId="0" borderId="0" xfId="0" applyFont="1" applyFill="1" applyAlignment="1">
      <alignment horizontal="center"/>
    </xf>
    <xf numFmtId="0" fontId="44" fillId="0" borderId="0" xfId="0" applyFont="1" applyFill="1" applyAlignment="1" applyProtection="1">
      <alignment/>
      <protection/>
    </xf>
    <xf numFmtId="0" fontId="28" fillId="0" borderId="0" xfId="0" applyFont="1" applyFill="1" applyAlignment="1">
      <alignment/>
    </xf>
    <xf numFmtId="0" fontId="41" fillId="0" borderId="0" xfId="0" applyFont="1" applyFill="1" applyAlignment="1">
      <alignment/>
    </xf>
    <xf numFmtId="0" fontId="44" fillId="0" borderId="30" xfId="0" applyFont="1" applyFill="1" applyBorder="1" applyAlignment="1" applyProtection="1">
      <alignment/>
      <protection/>
    </xf>
    <xf numFmtId="0" fontId="43" fillId="0" borderId="30" xfId="0" applyFont="1" applyFill="1" applyBorder="1" applyAlignment="1">
      <alignment/>
    </xf>
    <xf numFmtId="0" fontId="43" fillId="0" borderId="30" xfId="0" applyFont="1" applyFill="1" applyBorder="1" applyAlignment="1">
      <alignment/>
    </xf>
    <xf numFmtId="0" fontId="0" fillId="0" borderId="30" xfId="0" applyFill="1" applyBorder="1" applyAlignment="1">
      <alignment/>
    </xf>
    <xf numFmtId="168" fontId="43" fillId="0" borderId="30" xfId="42" applyFont="1" applyFill="1" applyBorder="1" applyAlignment="1" applyProtection="1">
      <alignment/>
      <protection/>
    </xf>
    <xf numFmtId="0" fontId="45" fillId="0" borderId="0" xfId="0" applyFont="1" applyFill="1" applyBorder="1" applyAlignment="1" applyProtection="1">
      <alignment/>
      <protection/>
    </xf>
    <xf numFmtId="0" fontId="41" fillId="0" borderId="0" xfId="0" applyFont="1" applyFill="1" applyBorder="1" applyAlignment="1" quotePrefix="1">
      <alignment horizontal="right"/>
    </xf>
    <xf numFmtId="0" fontId="0" fillId="0" borderId="0" xfId="0" applyFill="1" applyBorder="1" applyAlignment="1">
      <alignment horizontal="right"/>
    </xf>
    <xf numFmtId="0" fontId="41" fillId="0" borderId="0" xfId="0" applyFont="1" applyFill="1" applyBorder="1" applyAlignment="1" applyProtection="1" quotePrefix="1">
      <alignment horizontal="right"/>
      <protection/>
    </xf>
    <xf numFmtId="0" fontId="41" fillId="0" borderId="22" xfId="0" applyFont="1" applyFill="1" applyBorder="1" applyAlignment="1" applyProtection="1" quotePrefix="1">
      <alignment horizontal="right"/>
      <protection/>
    </xf>
    <xf numFmtId="0" fontId="41" fillId="0" borderId="22" xfId="0" applyFont="1" applyFill="1" applyBorder="1" applyAlignment="1" applyProtection="1" quotePrefix="1">
      <alignment horizontal="right"/>
      <protection/>
    </xf>
    <xf numFmtId="0" fontId="41" fillId="0" borderId="22" xfId="0" applyFont="1" applyFill="1" applyBorder="1" applyAlignment="1" quotePrefix="1">
      <alignment horizontal="right"/>
    </xf>
    <xf numFmtId="178" fontId="41" fillId="0" borderId="0" xfId="0" applyNumberFormat="1" applyFont="1" applyFill="1" applyAlignment="1" applyProtection="1">
      <alignment/>
      <protection hidden="1"/>
    </xf>
    <xf numFmtId="178" fontId="46" fillId="0" borderId="0" xfId="42" applyNumberFormat="1" applyFont="1" applyFill="1" applyAlignment="1" applyProtection="1" quotePrefix="1">
      <alignment/>
      <protection hidden="1"/>
    </xf>
    <xf numFmtId="178" fontId="41" fillId="0" borderId="0" xfId="42" applyNumberFormat="1" applyFont="1" applyFill="1" applyBorder="1" applyAlignment="1" applyProtection="1">
      <alignment horizontal="right"/>
      <protection hidden="1"/>
    </xf>
    <xf numFmtId="178" fontId="41" fillId="0" borderId="0" xfId="0" applyNumberFormat="1" applyFont="1" applyFill="1" applyAlignment="1" applyProtection="1" quotePrefix="1">
      <alignment/>
      <protection hidden="1"/>
    </xf>
    <xf numFmtId="178" fontId="41" fillId="0" borderId="0" xfId="0" applyNumberFormat="1" applyFont="1" applyFill="1" applyAlignment="1" applyProtection="1">
      <alignment/>
      <protection hidden="1"/>
    </xf>
    <xf numFmtId="0" fontId="47" fillId="0" borderId="0" xfId="0" applyFont="1" applyFill="1" applyAlignment="1" applyProtection="1">
      <alignment/>
      <protection/>
    </xf>
    <xf numFmtId="40" fontId="47" fillId="0" borderId="0" xfId="42" applyNumberFormat="1" applyFont="1" applyFill="1" applyAlignment="1" applyProtection="1">
      <alignment/>
      <protection/>
    </xf>
    <xf numFmtId="40" fontId="47" fillId="0" borderId="0" xfId="42" applyNumberFormat="1" applyFont="1" applyFill="1" applyBorder="1" applyAlignment="1" applyProtection="1">
      <alignment/>
      <protection/>
    </xf>
    <xf numFmtId="40" fontId="48" fillId="0" borderId="0" xfId="42" applyNumberFormat="1" applyFont="1" applyFill="1" applyAlignment="1" applyProtection="1">
      <alignment/>
      <protection locked="0"/>
    </xf>
    <xf numFmtId="0" fontId="47" fillId="0" borderId="0" xfId="0" applyFont="1" applyFill="1" applyBorder="1" applyAlignment="1" applyProtection="1">
      <alignment/>
      <protection/>
    </xf>
    <xf numFmtId="40" fontId="47" fillId="0" borderId="0" xfId="42" applyNumberFormat="1" applyFont="1" applyFill="1" applyBorder="1" applyAlignment="1" applyProtection="1">
      <alignment/>
      <protection/>
    </xf>
    <xf numFmtId="170" fontId="2" fillId="37" borderId="0" xfId="56" applyNumberFormat="1" applyFill="1" applyProtection="1">
      <alignment/>
      <protection/>
    </xf>
    <xf numFmtId="170" fontId="2" fillId="43" borderId="0" xfId="56" applyNumberFormat="1" applyFill="1" applyProtection="1">
      <alignment/>
      <protection/>
    </xf>
    <xf numFmtId="164" fontId="2" fillId="0" borderId="0" xfId="56" applyNumberFormat="1" applyFill="1" applyBorder="1" applyProtection="1">
      <alignment/>
      <protection locked="0"/>
    </xf>
    <xf numFmtId="167" fontId="28" fillId="0" borderId="0" xfId="44" applyFont="1" applyFill="1" applyAlignment="1" applyProtection="1" quotePrefix="1">
      <alignment/>
      <protection/>
    </xf>
    <xf numFmtId="0" fontId="42" fillId="0" borderId="0" xfId="0" applyFont="1" applyFill="1" applyAlignment="1">
      <alignment/>
    </xf>
    <xf numFmtId="0" fontId="43" fillId="0" borderId="0" xfId="0" applyFont="1" applyFill="1" applyAlignment="1">
      <alignment/>
    </xf>
    <xf numFmtId="1" fontId="28" fillId="0" borderId="0" xfId="0" applyNumberFormat="1" applyFont="1" applyFill="1" applyAlignment="1" applyProtection="1">
      <alignment/>
      <protection/>
    </xf>
    <xf numFmtId="168" fontId="40" fillId="0" borderId="0" xfId="42" applyFont="1" applyFill="1" applyBorder="1" applyAlignment="1" applyProtection="1" quotePrefix="1">
      <alignment horizontal="center"/>
      <protection locked="0"/>
    </xf>
    <xf numFmtId="1" fontId="28" fillId="0" borderId="0" xfId="0" applyNumberFormat="1" applyFont="1" applyFill="1" applyAlignment="1" applyProtection="1">
      <alignment horizontal="right"/>
      <protection/>
    </xf>
    <xf numFmtId="168" fontId="28" fillId="0" borderId="0" xfId="42" applyFont="1" applyFill="1" applyAlignment="1" applyProtection="1">
      <alignment/>
      <protection locked="0"/>
    </xf>
    <xf numFmtId="0" fontId="28" fillId="0" borderId="0" xfId="42" applyNumberFormat="1" applyFont="1" applyFill="1" applyAlignment="1" applyProtection="1">
      <alignment/>
      <protection locked="0"/>
    </xf>
    <xf numFmtId="44" fontId="28" fillId="0" borderId="0" xfId="42" applyNumberFormat="1" applyFont="1" applyFill="1" applyAlignment="1" applyProtection="1">
      <alignment/>
      <protection locked="0"/>
    </xf>
    <xf numFmtId="168" fontId="28" fillId="0" borderId="0" xfId="42" applyFont="1" applyFill="1" applyAlignment="1" applyProtection="1">
      <alignment/>
      <protection/>
    </xf>
    <xf numFmtId="0" fontId="2" fillId="0" borderId="0" xfId="56" applyFill="1">
      <alignment/>
      <protection/>
    </xf>
    <xf numFmtId="170" fontId="0" fillId="0" borderId="0" xfId="56" applyNumberFormat="1" applyFont="1" applyAlignment="1" applyProtection="1">
      <alignment horizontal="left" vertical="top" wrapText="1" indent="8"/>
      <protection/>
    </xf>
    <xf numFmtId="0" fontId="3" fillId="0" borderId="0" xfId="55" applyFont="1">
      <alignment/>
      <protection/>
    </xf>
    <xf numFmtId="0" fontId="50" fillId="0" borderId="0" xfId="0" applyFont="1" applyFill="1" applyBorder="1" applyAlignment="1">
      <alignment/>
    </xf>
    <xf numFmtId="0" fontId="28" fillId="0" borderId="0" xfId="0" applyFont="1" applyFill="1" applyBorder="1" applyAlignment="1" applyProtection="1" quotePrefix="1">
      <alignment/>
      <protection/>
    </xf>
    <xf numFmtId="0" fontId="28" fillId="0" borderId="0" xfId="0" applyFont="1" applyFill="1" applyBorder="1" applyAlignment="1">
      <alignment/>
    </xf>
    <xf numFmtId="0" fontId="0" fillId="0" borderId="0" xfId="0" applyFill="1" applyBorder="1" applyAlignment="1">
      <alignment/>
    </xf>
    <xf numFmtId="0" fontId="43" fillId="0" borderId="0" xfId="0" applyFont="1" applyFill="1" applyBorder="1" applyAlignment="1">
      <alignment/>
    </xf>
    <xf numFmtId="0" fontId="28" fillId="0" borderId="0" xfId="0" applyFont="1" applyFill="1" applyBorder="1" applyAlignment="1">
      <alignment/>
    </xf>
    <xf numFmtId="1" fontId="28" fillId="0" borderId="0" xfId="0" applyNumberFormat="1" applyFont="1" applyFill="1" applyBorder="1" applyAlignment="1" applyProtection="1">
      <alignment/>
      <protection/>
    </xf>
    <xf numFmtId="0" fontId="25" fillId="0" borderId="0" xfId="0" applyFont="1" applyFill="1" applyBorder="1" applyAlignment="1" quotePrefix="1">
      <alignment horizontal="center"/>
    </xf>
    <xf numFmtId="0" fontId="28" fillId="0" borderId="0" xfId="0" applyFont="1" applyFill="1" applyBorder="1" applyAlignment="1" quotePrefix="1">
      <alignment horizontal="center"/>
    </xf>
    <xf numFmtId="0" fontId="28" fillId="0" borderId="0" xfId="0" applyFont="1" applyFill="1" applyBorder="1" applyAlignment="1">
      <alignment horizontal="center"/>
    </xf>
    <xf numFmtId="44" fontId="18" fillId="0" borderId="0" xfId="44" applyNumberFormat="1" applyFont="1" applyFill="1" applyBorder="1" applyAlignment="1" applyProtection="1">
      <alignment/>
      <protection/>
    </xf>
    <xf numFmtId="0" fontId="3" fillId="43" borderId="10" xfId="55" applyFill="1" applyBorder="1">
      <alignment/>
      <protection/>
    </xf>
    <xf numFmtId="171" fontId="0" fillId="43" borderId="31" xfId="56" applyNumberFormat="1" applyFont="1" applyFill="1" applyBorder="1" applyProtection="1">
      <alignment/>
      <protection/>
    </xf>
    <xf numFmtId="171" fontId="0" fillId="43" borderId="28" xfId="56" applyNumberFormat="1" applyFont="1" applyFill="1" applyBorder="1" applyProtection="1">
      <alignment/>
      <protection/>
    </xf>
    <xf numFmtId="171" fontId="0" fillId="43" borderId="32" xfId="56" applyNumberFormat="1" applyFont="1" applyFill="1" applyBorder="1" applyProtection="1">
      <alignment/>
      <protection/>
    </xf>
    <xf numFmtId="171" fontId="3" fillId="43" borderId="10" xfId="55" applyNumberFormat="1" applyFill="1" applyBorder="1">
      <alignment/>
      <protection/>
    </xf>
    <xf numFmtId="170" fontId="0" fillId="37" borderId="12" xfId="56" applyNumberFormat="1" applyFont="1" applyFill="1" applyBorder="1" applyProtection="1">
      <alignment/>
      <protection/>
    </xf>
    <xf numFmtId="0" fontId="3" fillId="37" borderId="33" xfId="55" applyFill="1" applyBorder="1">
      <alignment/>
      <protection/>
    </xf>
    <xf numFmtId="0" fontId="3" fillId="43" borderId="10" xfId="55" applyFont="1" applyFill="1" applyBorder="1">
      <alignment/>
      <protection/>
    </xf>
    <xf numFmtId="9" fontId="0" fillId="37" borderId="10" xfId="59" applyFont="1" applyFill="1" applyBorder="1" applyAlignment="1" applyProtection="1">
      <alignment/>
      <protection/>
    </xf>
    <xf numFmtId="170" fontId="0" fillId="44" borderId="34" xfId="56" applyNumberFormat="1" applyFont="1" applyFill="1" applyBorder="1" applyProtection="1">
      <alignment/>
      <protection/>
    </xf>
    <xf numFmtId="0" fontId="3" fillId="44" borderId="10" xfId="55" applyFill="1" applyBorder="1">
      <alignment/>
      <protection/>
    </xf>
    <xf numFmtId="173" fontId="0" fillId="44" borderId="35" xfId="42" applyNumberFormat="1" applyFont="1" applyFill="1" applyBorder="1" applyAlignment="1" applyProtection="1">
      <alignment/>
      <protection/>
    </xf>
    <xf numFmtId="173" fontId="0" fillId="44" borderId="31" xfId="42" applyNumberFormat="1" applyFont="1" applyFill="1" applyBorder="1" applyAlignment="1" applyProtection="1">
      <alignment/>
      <protection/>
    </xf>
    <xf numFmtId="173" fontId="0" fillId="44" borderId="28" xfId="42" applyNumberFormat="1" applyFont="1" applyFill="1" applyBorder="1" applyAlignment="1" applyProtection="1">
      <alignment/>
      <protection/>
    </xf>
    <xf numFmtId="0" fontId="0" fillId="0" borderId="0" xfId="55" applyFont="1" applyFill="1" applyBorder="1">
      <alignment/>
      <protection/>
    </xf>
    <xf numFmtId="0" fontId="0" fillId="0" borderId="20" xfId="55" applyFont="1" applyFill="1" applyBorder="1">
      <alignment/>
      <protection/>
    </xf>
    <xf numFmtId="0" fontId="7" fillId="0" borderId="0" xfId="55" applyFont="1" applyFill="1" applyBorder="1">
      <alignment/>
      <protection/>
    </xf>
    <xf numFmtId="0" fontId="0" fillId="0" borderId="0" xfId="55" applyFont="1" applyFill="1" applyBorder="1" applyAlignment="1">
      <alignment/>
      <protection/>
    </xf>
    <xf numFmtId="0" fontId="0" fillId="0" borderId="36" xfId="55" applyFont="1" applyFill="1" applyBorder="1" applyAlignment="1">
      <alignment/>
      <protection/>
    </xf>
    <xf numFmtId="9" fontId="0" fillId="0" borderId="36" xfId="59" applyFont="1" applyFill="1" applyBorder="1" applyAlignment="1">
      <alignment/>
    </xf>
    <xf numFmtId="0" fontId="52" fillId="0" borderId="0" xfId="55" applyFont="1" applyFill="1" applyBorder="1" applyAlignment="1">
      <alignment horizontal="center"/>
      <protection/>
    </xf>
    <xf numFmtId="0" fontId="52" fillId="0" borderId="0" xfId="55" applyFont="1" applyFill="1" applyBorder="1" applyAlignment="1">
      <alignment horizontal="centerContinuous"/>
      <protection/>
    </xf>
    <xf numFmtId="0" fontId="0" fillId="43" borderId="36" xfId="55" applyFont="1" applyFill="1" applyBorder="1" applyAlignment="1">
      <alignment/>
      <protection/>
    </xf>
    <xf numFmtId="0" fontId="53" fillId="43" borderId="37" xfId="55" applyFont="1" applyFill="1" applyBorder="1" applyAlignment="1">
      <alignment horizontal="left"/>
      <protection/>
    </xf>
    <xf numFmtId="0" fontId="54" fillId="43" borderId="38" xfId="55" applyFont="1" applyFill="1" applyBorder="1" applyAlignment="1">
      <alignment horizontal="left"/>
      <protection/>
    </xf>
    <xf numFmtId="0" fontId="56" fillId="0" borderId="0" xfId="55" applyFont="1" applyFill="1" applyBorder="1" applyAlignment="1">
      <alignment horizontal="left"/>
      <protection/>
    </xf>
    <xf numFmtId="0" fontId="53" fillId="43" borderId="0" xfId="55" applyFont="1" applyFill="1" applyBorder="1" applyAlignment="1">
      <alignment horizontal="left"/>
      <protection/>
    </xf>
    <xf numFmtId="0" fontId="56" fillId="44" borderId="0" xfId="55" applyFont="1" applyFill="1" applyBorder="1" applyAlignment="1">
      <alignment horizontal="left"/>
      <protection/>
    </xf>
    <xf numFmtId="0" fontId="52" fillId="44" borderId="0" xfId="55" applyFont="1" applyFill="1" applyBorder="1" applyAlignment="1">
      <alignment/>
      <protection/>
    </xf>
    <xf numFmtId="9" fontId="55" fillId="43" borderId="0" xfId="59" applyFont="1" applyFill="1" applyBorder="1" applyAlignment="1">
      <alignment/>
    </xf>
    <xf numFmtId="9" fontId="55" fillId="43" borderId="37" xfId="59" applyFont="1" applyFill="1" applyBorder="1" applyAlignment="1">
      <alignment/>
    </xf>
    <xf numFmtId="3" fontId="0" fillId="43" borderId="37" xfId="0" applyNumberFormat="1" applyFill="1" applyBorder="1" applyAlignment="1" applyProtection="1">
      <alignment/>
      <protection locked="0"/>
    </xf>
    <xf numFmtId="0" fontId="0" fillId="43" borderId="37" xfId="42" applyNumberFormat="1" applyFont="1" applyFill="1" applyBorder="1" applyAlignment="1" applyProtection="1">
      <alignment/>
      <protection locked="0"/>
    </xf>
    <xf numFmtId="164" fontId="38" fillId="40" borderId="0" xfId="56" applyNumberFormat="1" applyFont="1" applyFill="1" applyBorder="1" applyProtection="1">
      <alignment/>
      <protection locked="0"/>
    </xf>
    <xf numFmtId="170" fontId="38" fillId="40" borderId="0" xfId="56" applyNumberFormat="1" applyFont="1" applyFill="1" applyBorder="1" applyProtection="1">
      <alignment/>
      <protection locked="0"/>
    </xf>
    <xf numFmtId="10" fontId="38" fillId="43" borderId="0" xfId="59" applyNumberFormat="1" applyFont="1" applyFill="1" applyBorder="1" applyAlignment="1" applyProtection="1">
      <alignment/>
      <protection locked="0"/>
    </xf>
    <xf numFmtId="171" fontId="38" fillId="43" borderId="0" xfId="56" applyNumberFormat="1" applyFont="1" applyFill="1" applyBorder="1" applyProtection="1">
      <alignment/>
      <protection locked="0"/>
    </xf>
    <xf numFmtId="0" fontId="38" fillId="43" borderId="0" xfId="42" applyNumberFormat="1" applyFont="1" applyFill="1" applyBorder="1" applyAlignment="1" applyProtection="1">
      <alignment/>
      <protection locked="0"/>
    </xf>
    <xf numFmtId="171" fontId="38" fillId="40" borderId="0" xfId="56" applyNumberFormat="1" applyFont="1" applyFill="1" applyBorder="1" applyProtection="1">
      <alignment/>
      <protection locked="0"/>
    </xf>
    <xf numFmtId="170" fontId="2" fillId="38" borderId="39" xfId="56" applyNumberFormat="1" applyFill="1" applyBorder="1" applyProtection="1">
      <alignment/>
      <protection locked="0"/>
    </xf>
    <xf numFmtId="170" fontId="30" fillId="38" borderId="39" xfId="56" applyNumberFormat="1" applyFont="1" applyFill="1" applyBorder="1" applyProtection="1">
      <alignment/>
      <protection locked="0"/>
    </xf>
    <xf numFmtId="0" fontId="2" fillId="0" borderId="0" xfId="56" applyBorder="1" applyProtection="1">
      <alignment/>
      <protection locked="0"/>
    </xf>
    <xf numFmtId="170" fontId="2" fillId="0" borderId="0" xfId="56" applyNumberFormat="1" applyBorder="1" applyProtection="1">
      <alignment/>
      <protection locked="0"/>
    </xf>
    <xf numFmtId="171" fontId="2" fillId="0" borderId="0" xfId="56" applyNumberFormat="1" applyBorder="1" applyProtection="1">
      <alignment/>
      <protection locked="0"/>
    </xf>
    <xf numFmtId="0" fontId="2" fillId="0" borderId="0" xfId="56" applyBorder="1" applyAlignment="1" applyProtection="1">
      <alignment wrapText="1"/>
      <protection locked="0"/>
    </xf>
    <xf numFmtId="170" fontId="30" fillId="38" borderId="40" xfId="56" applyNumberFormat="1" applyFont="1" applyFill="1" applyBorder="1" applyProtection="1">
      <alignment/>
      <protection locked="0"/>
    </xf>
    <xf numFmtId="171" fontId="30" fillId="38" borderId="41" xfId="56" applyNumberFormat="1" applyFont="1" applyFill="1" applyBorder="1" applyProtection="1">
      <alignment/>
      <protection locked="0"/>
    </xf>
    <xf numFmtId="170" fontId="2" fillId="0" borderId="0" xfId="56" applyNumberFormat="1" applyBorder="1" applyAlignment="1" applyProtection="1">
      <alignment horizontal="left"/>
      <protection locked="0"/>
    </xf>
    <xf numFmtId="164" fontId="38" fillId="40" borderId="42" xfId="56" applyNumberFormat="1" applyFont="1" applyFill="1" applyBorder="1" applyProtection="1">
      <alignment/>
      <protection locked="0"/>
    </xf>
    <xf numFmtId="170" fontId="2" fillId="0" borderId="43" xfId="56" applyNumberFormat="1" applyBorder="1" applyAlignment="1" applyProtection="1">
      <alignment horizontal="left"/>
      <protection locked="0"/>
    </xf>
    <xf numFmtId="170" fontId="2" fillId="0" borderId="0" xfId="56" applyNumberFormat="1" applyBorder="1" applyAlignment="1" applyProtection="1" quotePrefix="1">
      <alignment horizontal="left"/>
      <protection locked="0"/>
    </xf>
    <xf numFmtId="164" fontId="2" fillId="0" borderId="42" xfId="44" applyNumberFormat="1" applyFont="1" applyFill="1" applyBorder="1" applyAlignment="1" applyProtection="1">
      <alignment/>
      <protection locked="0"/>
    </xf>
    <xf numFmtId="170" fontId="23" fillId="43" borderId="43" xfId="56" applyNumberFormat="1" applyFont="1" applyFill="1" applyBorder="1" applyAlignment="1" applyProtection="1">
      <alignment horizontal="left"/>
      <protection locked="0"/>
    </xf>
    <xf numFmtId="171" fontId="38" fillId="40" borderId="42" xfId="56" applyNumberFormat="1" applyFont="1" applyFill="1" applyBorder="1" applyProtection="1">
      <alignment/>
      <protection locked="0"/>
    </xf>
    <xf numFmtId="20" fontId="2" fillId="0" borderId="43" xfId="0" applyNumberFormat="1" applyFont="1" applyFill="1" applyBorder="1" applyAlignment="1" applyProtection="1">
      <alignment/>
      <protection locked="0"/>
    </xf>
    <xf numFmtId="0" fontId="2" fillId="0" borderId="43" xfId="0" applyFont="1" applyFill="1" applyBorder="1" applyAlignment="1" applyProtection="1">
      <alignment/>
      <protection locked="0"/>
    </xf>
    <xf numFmtId="171" fontId="2" fillId="0" borderId="42" xfId="56" applyNumberFormat="1" applyFill="1" applyBorder="1" applyProtection="1">
      <alignment/>
      <protection locked="0"/>
    </xf>
    <xf numFmtId="170" fontId="2" fillId="0" borderId="43" xfId="56" applyNumberFormat="1" applyFont="1" applyBorder="1" applyAlignment="1" applyProtection="1">
      <alignment horizontal="left"/>
      <protection locked="0"/>
    </xf>
    <xf numFmtId="171" fontId="38" fillId="40" borderId="42" xfId="56" applyNumberFormat="1" applyFont="1" applyFill="1" applyBorder="1" applyAlignment="1" applyProtection="1">
      <alignment horizontal="right"/>
      <protection locked="0"/>
    </xf>
    <xf numFmtId="181" fontId="38" fillId="40" borderId="42" xfId="59" applyNumberFormat="1" applyFont="1" applyFill="1" applyBorder="1" applyAlignment="1" applyProtection="1">
      <alignment horizontal="right"/>
      <protection locked="0"/>
    </xf>
    <xf numFmtId="170" fontId="2" fillId="0" borderId="42" xfId="56" applyNumberFormat="1" applyBorder="1" applyProtection="1">
      <alignment/>
      <protection locked="0"/>
    </xf>
    <xf numFmtId="9" fontId="38" fillId="40" borderId="44" xfId="59" applyFont="1" applyFill="1" applyBorder="1" applyAlignment="1" applyProtection="1">
      <alignment/>
      <protection locked="0"/>
    </xf>
    <xf numFmtId="170" fontId="2" fillId="0" borderId="44" xfId="56" applyNumberFormat="1" applyBorder="1" applyAlignment="1" applyProtection="1" quotePrefix="1">
      <alignment horizontal="left"/>
      <protection locked="0"/>
    </xf>
    <xf numFmtId="170" fontId="2" fillId="0" borderId="44" xfId="56" applyNumberFormat="1" applyBorder="1" applyProtection="1">
      <alignment/>
      <protection locked="0"/>
    </xf>
    <xf numFmtId="164" fontId="38" fillId="0" borderId="45" xfId="56" applyNumberFormat="1" applyFont="1" applyFill="1" applyBorder="1" applyProtection="1">
      <alignment/>
      <protection locked="0"/>
    </xf>
    <xf numFmtId="170" fontId="7" fillId="0" borderId="0" xfId="56" applyNumberFormat="1" applyFont="1" applyProtection="1">
      <alignment/>
      <protection/>
    </xf>
    <xf numFmtId="170" fontId="7" fillId="0" borderId="0" xfId="56" applyNumberFormat="1" applyFont="1" applyAlignment="1" applyProtection="1">
      <alignment vertical="top" wrapText="1"/>
      <protection/>
    </xf>
    <xf numFmtId="0" fontId="0" fillId="37" borderId="0" xfId="56" applyFont="1" applyFill="1">
      <alignment/>
      <protection/>
    </xf>
    <xf numFmtId="170" fontId="0" fillId="37" borderId="0" xfId="56" applyNumberFormat="1" applyFont="1" applyFill="1" applyAlignment="1" applyProtection="1">
      <alignment horizontal="left" vertical="top" wrapText="1" indent="8"/>
      <protection/>
    </xf>
    <xf numFmtId="170" fontId="0" fillId="37" borderId="0" xfId="56" applyNumberFormat="1" applyFont="1" applyFill="1" applyAlignment="1" applyProtection="1">
      <alignment wrapText="1"/>
      <protection/>
    </xf>
    <xf numFmtId="170" fontId="38" fillId="0" borderId="0" xfId="56" applyNumberFormat="1" applyFont="1" applyFill="1" applyProtection="1">
      <alignment/>
      <protection/>
    </xf>
    <xf numFmtId="170" fontId="2" fillId="0" borderId="46" xfId="56" applyNumberFormat="1" applyBorder="1" applyProtection="1">
      <alignment/>
      <protection/>
    </xf>
    <xf numFmtId="170" fontId="2" fillId="0" borderId="47" xfId="56" applyNumberFormat="1" applyBorder="1" applyProtection="1">
      <alignment/>
      <protection/>
    </xf>
    <xf numFmtId="170" fontId="2" fillId="0" borderId="48" xfId="56" applyNumberFormat="1" applyBorder="1" applyProtection="1">
      <alignment/>
      <protection/>
    </xf>
    <xf numFmtId="170" fontId="2" fillId="0" borderId="49" xfId="56" applyNumberFormat="1" applyBorder="1" applyProtection="1">
      <alignment/>
      <protection/>
    </xf>
    <xf numFmtId="170" fontId="23" fillId="0" borderId="0" xfId="56" applyNumberFormat="1" applyFont="1" applyBorder="1" applyProtection="1">
      <alignment/>
      <protection/>
    </xf>
    <xf numFmtId="170" fontId="2" fillId="0" borderId="50" xfId="56" applyNumberFormat="1" applyBorder="1" applyProtection="1">
      <alignment/>
      <protection/>
    </xf>
    <xf numFmtId="170" fontId="2" fillId="43" borderId="0" xfId="56" applyNumberFormat="1" applyFont="1" applyFill="1" applyBorder="1" applyProtection="1">
      <alignment/>
      <protection/>
    </xf>
    <xf numFmtId="170" fontId="2" fillId="43" borderId="0" xfId="56" applyNumberFormat="1" applyFill="1" applyBorder="1" applyProtection="1">
      <alignment/>
      <protection/>
    </xf>
    <xf numFmtId="171" fontId="2" fillId="43" borderId="0" xfId="56" applyNumberFormat="1" applyFill="1" applyBorder="1" applyProtection="1">
      <alignment/>
      <protection/>
    </xf>
    <xf numFmtId="171" fontId="2" fillId="0" borderId="0" xfId="56" applyNumberFormat="1" applyFont="1" applyFill="1" applyBorder="1" applyProtection="1">
      <alignment/>
      <protection/>
    </xf>
    <xf numFmtId="170" fontId="2" fillId="0" borderId="0" xfId="56" applyNumberFormat="1" applyFill="1" applyBorder="1" applyProtection="1">
      <alignment/>
      <protection/>
    </xf>
    <xf numFmtId="171" fontId="2" fillId="0" borderId="0" xfId="56" applyNumberFormat="1" applyFill="1" applyBorder="1" applyProtection="1">
      <alignment/>
      <protection/>
    </xf>
    <xf numFmtId="170" fontId="2" fillId="0" borderId="0" xfId="56" applyNumberFormat="1" applyFont="1" applyFill="1" applyBorder="1" applyProtection="1">
      <alignment/>
      <protection/>
    </xf>
    <xf numFmtId="170" fontId="23" fillId="37" borderId="0" xfId="56" applyNumberFormat="1" applyFont="1" applyFill="1" applyBorder="1" applyProtection="1">
      <alignment/>
      <protection/>
    </xf>
    <xf numFmtId="170" fontId="2" fillId="37" borderId="0" xfId="56" applyNumberFormat="1" applyFill="1" applyBorder="1" applyProtection="1">
      <alignment/>
      <protection/>
    </xf>
    <xf numFmtId="170" fontId="2" fillId="37" borderId="0" xfId="56" applyNumberFormat="1" applyFont="1" applyFill="1" applyBorder="1" applyProtection="1">
      <alignment/>
      <protection/>
    </xf>
    <xf numFmtId="171" fontId="2" fillId="37" borderId="0" xfId="56" applyNumberFormat="1" applyFill="1" applyBorder="1" applyProtection="1">
      <alignment/>
      <protection/>
    </xf>
    <xf numFmtId="170" fontId="2" fillId="45" borderId="0" xfId="56" applyNumberFormat="1" applyFont="1" applyFill="1" applyBorder="1" applyProtection="1">
      <alignment/>
      <protection/>
    </xf>
    <xf numFmtId="170" fontId="2" fillId="45" borderId="0" xfId="56" applyNumberFormat="1" applyFill="1" applyBorder="1" applyProtection="1">
      <alignment/>
      <protection/>
    </xf>
    <xf numFmtId="167" fontId="28" fillId="35" borderId="49" xfId="44" applyFont="1" applyFill="1" applyBorder="1" applyAlignment="1" applyProtection="1" quotePrefix="1">
      <alignment/>
      <protection/>
    </xf>
    <xf numFmtId="0" fontId="28" fillId="35" borderId="0" xfId="0" applyFont="1" applyFill="1" applyBorder="1" applyAlignment="1" applyProtection="1" quotePrefix="1">
      <alignment/>
      <protection/>
    </xf>
    <xf numFmtId="0" fontId="0" fillId="35" borderId="0" xfId="0" applyNumberFormat="1" applyFill="1" applyBorder="1" applyAlignment="1" applyProtection="1">
      <alignment/>
      <protection/>
    </xf>
    <xf numFmtId="1" fontId="28" fillId="35" borderId="0" xfId="0" applyNumberFormat="1" applyFont="1" applyFill="1" applyBorder="1" applyAlignment="1" applyProtection="1">
      <alignment/>
      <protection/>
    </xf>
    <xf numFmtId="1" fontId="28" fillId="35" borderId="0" xfId="0" applyNumberFormat="1" applyFont="1" applyFill="1" applyBorder="1" applyAlignment="1" applyProtection="1">
      <alignment horizontal="right"/>
      <protection/>
    </xf>
    <xf numFmtId="0" fontId="28" fillId="35" borderId="49" xfId="0" applyFont="1" applyFill="1" applyBorder="1" applyAlignment="1" applyProtection="1" quotePrefix="1">
      <alignment/>
      <protection/>
    </xf>
    <xf numFmtId="20" fontId="28" fillId="35" borderId="49" xfId="0" applyNumberFormat="1" applyFont="1" applyFill="1" applyBorder="1" applyAlignment="1" applyProtection="1" quotePrefix="1">
      <alignment/>
      <protection/>
    </xf>
    <xf numFmtId="0" fontId="0" fillId="35" borderId="50" xfId="0" applyNumberFormat="1" applyFill="1" applyBorder="1" applyAlignment="1" applyProtection="1">
      <alignment/>
      <protection/>
    </xf>
    <xf numFmtId="0" fontId="28" fillId="35" borderId="49" xfId="0" applyFont="1" applyFill="1" applyBorder="1" applyAlignment="1" applyProtection="1">
      <alignment/>
      <protection/>
    </xf>
    <xf numFmtId="0" fontId="44" fillId="35" borderId="49" xfId="0" applyFont="1" applyFill="1" applyBorder="1" applyAlignment="1" applyProtection="1">
      <alignment/>
      <protection/>
    </xf>
    <xf numFmtId="168" fontId="28" fillId="35" borderId="0" xfId="42" applyFont="1" applyFill="1" applyBorder="1" applyAlignment="1" applyProtection="1">
      <alignment/>
      <protection/>
    </xf>
    <xf numFmtId="0" fontId="44" fillId="35" borderId="51" xfId="0" applyFont="1" applyFill="1" applyBorder="1" applyAlignment="1" applyProtection="1">
      <alignment/>
      <protection/>
    </xf>
    <xf numFmtId="0" fontId="45" fillId="41" borderId="49" xfId="0" applyFont="1" applyFill="1" applyBorder="1" applyAlignment="1" applyProtection="1">
      <alignment/>
      <protection/>
    </xf>
    <xf numFmtId="0" fontId="41" fillId="41" borderId="52" xfId="0" applyFont="1" applyFill="1" applyBorder="1" applyAlignment="1" applyProtection="1" quotePrefix="1">
      <alignment horizontal="right"/>
      <protection/>
    </xf>
    <xf numFmtId="0" fontId="47" fillId="42" borderId="49" xfId="0" applyFont="1" applyFill="1" applyBorder="1" applyAlignment="1" applyProtection="1">
      <alignment/>
      <protection/>
    </xf>
    <xf numFmtId="40" fontId="47" fillId="42" borderId="0" xfId="42" applyNumberFormat="1" applyFont="1" applyFill="1" applyBorder="1" applyAlignment="1" applyProtection="1">
      <alignment/>
      <protection/>
    </xf>
    <xf numFmtId="170" fontId="2" fillId="0" borderId="53" xfId="56" applyNumberFormat="1" applyBorder="1" applyProtection="1">
      <alignment/>
      <protection/>
    </xf>
    <xf numFmtId="170" fontId="2" fillId="0" borderId="54" xfId="56" applyNumberFormat="1" applyBorder="1" applyProtection="1">
      <alignment/>
      <protection/>
    </xf>
    <xf numFmtId="170" fontId="2" fillId="0" borderId="55" xfId="56" applyNumberFormat="1" applyBorder="1" applyProtection="1">
      <alignment/>
      <protection/>
    </xf>
    <xf numFmtId="170" fontId="2" fillId="0" borderId="49" xfId="56" applyNumberFormat="1" applyFont="1" applyBorder="1" applyProtection="1">
      <alignment/>
      <protection/>
    </xf>
    <xf numFmtId="0" fontId="0" fillId="0" borderId="0" xfId="0" applyAlignment="1">
      <alignment wrapText="1"/>
    </xf>
    <xf numFmtId="170" fontId="30" fillId="38" borderId="56" xfId="0" applyNumberFormat="1" applyFont="1" applyFill="1" applyBorder="1" applyAlignment="1" applyProtection="1">
      <alignment/>
      <protection/>
    </xf>
    <xf numFmtId="0" fontId="31" fillId="46" borderId="57" xfId="0" applyFont="1" applyFill="1" applyBorder="1" applyAlignment="1">
      <alignment horizontal="right"/>
    </xf>
    <xf numFmtId="0" fontId="31" fillId="46" borderId="58" xfId="0" applyFont="1" applyFill="1" applyBorder="1" applyAlignment="1">
      <alignment horizontal="right"/>
    </xf>
    <xf numFmtId="0" fontId="0" fillId="0" borderId="0" xfId="0" applyBorder="1" applyAlignment="1">
      <alignment/>
    </xf>
    <xf numFmtId="170" fontId="2" fillId="0" borderId="49" xfId="0" applyNumberFormat="1" applyFont="1" applyFill="1" applyBorder="1" applyAlignment="1" applyProtection="1">
      <alignment/>
      <protection/>
    </xf>
    <xf numFmtId="169" fontId="32" fillId="0" borderId="0" xfId="0" applyNumberFormat="1" applyFont="1" applyFill="1" applyBorder="1" applyAlignment="1" applyProtection="1">
      <alignment/>
      <protection locked="0"/>
    </xf>
    <xf numFmtId="171" fontId="32" fillId="0" borderId="0" xfId="0" applyNumberFormat="1" applyFont="1" applyFill="1" applyBorder="1" applyAlignment="1" applyProtection="1">
      <alignment/>
      <protection locked="0"/>
    </xf>
    <xf numFmtId="170" fontId="33" fillId="0" borderId="59" xfId="0" applyNumberFormat="1" applyFont="1" applyFill="1" applyBorder="1" applyAlignment="1" applyProtection="1">
      <alignment/>
      <protection/>
    </xf>
    <xf numFmtId="171" fontId="32" fillId="0" borderId="60" xfId="0" applyNumberFormat="1" applyFont="1" applyFill="1" applyBorder="1" applyAlignment="1" applyProtection="1">
      <alignment/>
      <protection locked="0"/>
    </xf>
    <xf numFmtId="171" fontId="34" fillId="47" borderId="61" xfId="0" applyNumberFormat="1" applyFont="1" applyFill="1" applyBorder="1" applyAlignment="1" applyProtection="1">
      <alignment/>
      <protection/>
    </xf>
    <xf numFmtId="0" fontId="30" fillId="46" borderId="62" xfId="0" applyFont="1" applyFill="1" applyBorder="1" applyAlignment="1">
      <alignment horizontal="left"/>
    </xf>
    <xf numFmtId="0" fontId="27" fillId="46" borderId="62" xfId="0" applyFont="1" applyFill="1" applyBorder="1" applyAlignment="1" quotePrefix="1">
      <alignment horizontal="left"/>
    </xf>
    <xf numFmtId="170" fontId="30" fillId="0" borderId="0" xfId="0" applyNumberFormat="1" applyFont="1" applyFill="1" applyBorder="1" applyAlignment="1" applyProtection="1">
      <alignment/>
      <protection/>
    </xf>
    <xf numFmtId="0" fontId="31" fillId="0" borderId="0" xfId="0" applyFont="1" applyFill="1" applyBorder="1" applyAlignment="1">
      <alignment horizontal="right"/>
    </xf>
    <xf numFmtId="0" fontId="29" fillId="0" borderId="0" xfId="56" applyFont="1" applyFill="1" applyBorder="1" applyAlignment="1">
      <alignment horizontal="centerContinuous"/>
      <protection/>
    </xf>
    <xf numFmtId="0" fontId="0" fillId="0" borderId="0" xfId="0" applyFill="1" applyBorder="1" applyAlignment="1">
      <alignment horizontal="left"/>
    </xf>
    <xf numFmtId="173" fontId="0" fillId="0" borderId="0" xfId="42" applyNumberFormat="1" applyFont="1" applyFill="1" applyBorder="1" applyAlignment="1" applyProtection="1">
      <alignment/>
      <protection locked="0"/>
    </xf>
    <xf numFmtId="0" fontId="2" fillId="0" borderId="0" xfId="56" applyFill="1" applyBorder="1" applyAlignment="1">
      <alignment horizontal="centerContinuous"/>
      <protection/>
    </xf>
    <xf numFmtId="170" fontId="2"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170" fontId="33" fillId="0" borderId="0" xfId="0" applyNumberFormat="1" applyFont="1" applyFill="1" applyBorder="1" applyAlignment="1" applyProtection="1">
      <alignment/>
      <protection/>
    </xf>
    <xf numFmtId="171" fontId="34" fillId="0" borderId="0" xfId="0" applyNumberFormat="1" applyFont="1" applyFill="1" applyBorder="1" applyAlignment="1" applyProtection="1">
      <alignment/>
      <protection/>
    </xf>
    <xf numFmtId="0" fontId="30" fillId="0" borderId="0" xfId="0" applyFont="1" applyFill="1" applyBorder="1" applyAlignment="1">
      <alignment horizontal="left"/>
    </xf>
    <xf numFmtId="0" fontId="27" fillId="0" borderId="0" xfId="0" applyFont="1" applyFill="1" applyBorder="1" applyAlignment="1" quotePrefix="1">
      <alignment horizontal="left"/>
    </xf>
    <xf numFmtId="0" fontId="0" fillId="0" borderId="0" xfId="56" applyFont="1" applyFill="1">
      <alignment/>
      <protection/>
    </xf>
    <xf numFmtId="0" fontId="2" fillId="43" borderId="0" xfId="56" applyFont="1" applyFill="1" applyProtection="1">
      <alignment/>
      <protection/>
    </xf>
    <xf numFmtId="0" fontId="2" fillId="43" borderId="0" xfId="56" applyFont="1" applyFill="1" applyAlignment="1" applyProtection="1">
      <alignment horizontal="center"/>
      <protection/>
    </xf>
    <xf numFmtId="0" fontId="24" fillId="43" borderId="0" xfId="56" applyFont="1" applyFill="1" applyProtection="1">
      <alignment/>
      <protection/>
    </xf>
    <xf numFmtId="0" fontId="2" fillId="43" borderId="0" xfId="56" applyFill="1">
      <alignment/>
      <protection/>
    </xf>
    <xf numFmtId="174" fontId="2" fillId="43" borderId="0" xfId="56" applyNumberFormat="1" applyFont="1" applyFill="1" applyProtection="1">
      <alignment/>
      <protection/>
    </xf>
    <xf numFmtId="172" fontId="2" fillId="43" borderId="0" xfId="56" applyNumberFormat="1" applyFill="1" applyProtection="1">
      <alignment/>
      <protection/>
    </xf>
    <xf numFmtId="0" fontId="2" fillId="43" borderId="0" xfId="56" applyFont="1" applyFill="1" applyAlignment="1" applyProtection="1">
      <alignment horizontal="right"/>
      <protection/>
    </xf>
    <xf numFmtId="172" fontId="2" fillId="43" borderId="0" xfId="56" applyNumberFormat="1" applyFont="1" applyFill="1" applyProtection="1">
      <alignment/>
      <protection/>
    </xf>
    <xf numFmtId="170" fontId="2" fillId="43" borderId="24" xfId="56" applyNumberFormat="1" applyFill="1" applyBorder="1" applyProtection="1">
      <alignment/>
      <protection/>
    </xf>
    <xf numFmtId="170" fontId="2" fillId="43" borderId="63" xfId="56" applyNumberFormat="1" applyFill="1" applyBorder="1" applyProtection="1">
      <alignment/>
      <protection/>
    </xf>
    <xf numFmtId="0" fontId="29" fillId="43" borderId="0" xfId="56" applyFont="1" applyFill="1" applyAlignment="1" applyProtection="1">
      <alignment horizontal="center"/>
      <protection/>
    </xf>
    <xf numFmtId="0" fontId="2" fillId="0" borderId="0" xfId="56" applyAlignment="1" quotePrefix="1">
      <alignment horizontal="left" vertical="top"/>
      <protection/>
    </xf>
    <xf numFmtId="0" fontId="2" fillId="0" borderId="0" xfId="56" applyAlignment="1">
      <alignment horizontal="left"/>
      <protection/>
    </xf>
    <xf numFmtId="170" fontId="24" fillId="48" borderId="49" xfId="56" applyNumberFormat="1" applyFont="1" applyFill="1" applyBorder="1" applyProtection="1">
      <alignment/>
      <protection/>
    </xf>
    <xf numFmtId="171" fontId="2" fillId="48" borderId="0" xfId="56" applyNumberFormat="1" applyFont="1" applyFill="1" applyBorder="1" applyProtection="1">
      <alignment/>
      <protection/>
    </xf>
    <xf numFmtId="170" fontId="2" fillId="48" borderId="0" xfId="56" applyNumberFormat="1" applyFill="1" applyBorder="1" applyProtection="1">
      <alignment/>
      <protection/>
    </xf>
    <xf numFmtId="171" fontId="2" fillId="48" borderId="0" xfId="56" applyNumberFormat="1" applyFill="1" applyBorder="1" applyProtection="1">
      <alignment/>
      <protection/>
    </xf>
    <xf numFmtId="4" fontId="19" fillId="0" borderId="0" xfId="0" applyNumberFormat="1" applyFont="1" applyFill="1" applyBorder="1" applyAlignment="1" applyProtection="1">
      <alignment/>
      <protection/>
    </xf>
    <xf numFmtId="4" fontId="19" fillId="45" borderId="0" xfId="0" applyNumberFormat="1" applyFont="1" applyFill="1" applyBorder="1" applyAlignment="1" applyProtection="1">
      <alignment/>
      <protection/>
    </xf>
    <xf numFmtId="0" fontId="42" fillId="35" borderId="0" xfId="0" applyFont="1" applyFill="1" applyBorder="1" applyAlignment="1" applyProtection="1">
      <alignment/>
      <protection/>
    </xf>
    <xf numFmtId="0" fontId="28" fillId="35" borderId="0" xfId="0" applyFont="1" applyFill="1" applyBorder="1" applyAlignment="1" applyProtection="1">
      <alignment/>
      <protection/>
    </xf>
    <xf numFmtId="0" fontId="0" fillId="35" borderId="0" xfId="0" applyFill="1" applyBorder="1" applyAlignment="1" applyProtection="1">
      <alignment/>
      <protection/>
    </xf>
    <xf numFmtId="0" fontId="43" fillId="35" borderId="0" xfId="0" applyFont="1" applyFill="1" applyBorder="1" applyAlignment="1" applyProtection="1">
      <alignment/>
      <protection/>
    </xf>
    <xf numFmtId="0" fontId="0" fillId="35" borderId="20" xfId="0" applyFill="1" applyBorder="1" applyAlignment="1" applyProtection="1">
      <alignment/>
      <protection/>
    </xf>
    <xf numFmtId="0" fontId="23" fillId="35" borderId="0" xfId="0" applyNumberFormat="1" applyFont="1" applyFill="1" applyBorder="1" applyAlignment="1" applyProtection="1" quotePrefix="1">
      <alignment horizontal="left"/>
      <protection/>
    </xf>
    <xf numFmtId="0" fontId="28" fillId="35" borderId="49" xfId="0" applyFont="1" applyFill="1" applyBorder="1" applyAlignment="1" applyProtection="1">
      <alignment/>
      <protection/>
    </xf>
    <xf numFmtId="168" fontId="40" fillId="35" borderId="0" xfId="42" applyFont="1" applyFill="1" applyBorder="1" applyAlignment="1" applyProtection="1" quotePrefix="1">
      <alignment horizontal="center"/>
      <protection/>
    </xf>
    <xf numFmtId="0" fontId="28" fillId="35" borderId="0" xfId="0" applyFont="1" applyFill="1" applyBorder="1" applyAlignment="1" applyProtection="1">
      <alignment/>
      <protection/>
    </xf>
    <xf numFmtId="4" fontId="17" fillId="35" borderId="0" xfId="0" applyNumberFormat="1" applyFont="1" applyFill="1" applyBorder="1" applyAlignment="1" applyProtection="1">
      <alignment/>
      <protection/>
    </xf>
    <xf numFmtId="0" fontId="0" fillId="35" borderId="0" xfId="0" applyFill="1" applyBorder="1" applyAlignment="1" applyProtection="1" quotePrefix="1">
      <alignment/>
      <protection/>
    </xf>
    <xf numFmtId="171" fontId="18" fillId="43" borderId="0" xfId="0" applyNumberFormat="1" applyFont="1" applyFill="1" applyBorder="1" applyAlignment="1" applyProtection="1">
      <alignment/>
      <protection/>
    </xf>
    <xf numFmtId="9" fontId="17" fillId="35" borderId="0" xfId="59" applyFont="1" applyFill="1" applyBorder="1" applyAlignment="1" applyProtection="1">
      <alignment/>
      <protection/>
    </xf>
    <xf numFmtId="0" fontId="25" fillId="35" borderId="0" xfId="0" applyFont="1" applyFill="1" applyBorder="1" applyAlignment="1" applyProtection="1" quotePrefix="1">
      <alignment horizontal="center"/>
      <protection/>
    </xf>
    <xf numFmtId="0" fontId="0" fillId="35" borderId="0" xfId="0" applyNumberFormat="1" applyFill="1" applyBorder="1" applyAlignment="1" applyProtection="1">
      <alignment/>
      <protection/>
    </xf>
    <xf numFmtId="0" fontId="17" fillId="35" borderId="0" xfId="42" applyNumberFormat="1" applyFont="1" applyFill="1" applyBorder="1" applyAlignment="1" applyProtection="1">
      <alignment/>
      <protection/>
    </xf>
    <xf numFmtId="0" fontId="28" fillId="35" borderId="0" xfId="42" applyNumberFormat="1" applyFont="1" applyFill="1" applyBorder="1" applyAlignment="1" applyProtection="1">
      <alignment/>
      <protection/>
    </xf>
    <xf numFmtId="178" fontId="0" fillId="35" borderId="0" xfId="0" applyNumberFormat="1" applyFill="1" applyBorder="1" applyAlignment="1" applyProtection="1" quotePrefix="1">
      <alignment horizontal="left"/>
      <protection/>
    </xf>
    <xf numFmtId="178" fontId="28" fillId="35" borderId="0" xfId="0" applyNumberFormat="1" applyFont="1" applyFill="1" applyBorder="1" applyAlignment="1" applyProtection="1">
      <alignment/>
      <protection/>
    </xf>
    <xf numFmtId="171" fontId="17" fillId="35" borderId="0" xfId="42" applyNumberFormat="1" applyFont="1" applyFill="1" applyBorder="1" applyAlignment="1" applyProtection="1">
      <alignment/>
      <protection/>
    </xf>
    <xf numFmtId="0" fontId="28" fillId="35" borderId="0" xfId="0" applyFont="1" applyFill="1" applyBorder="1" applyAlignment="1" applyProtection="1" quotePrefix="1">
      <alignment horizontal="center"/>
      <protection/>
    </xf>
    <xf numFmtId="0" fontId="0" fillId="35" borderId="0" xfId="0" applyNumberFormat="1" applyFill="1" applyBorder="1" applyAlignment="1" applyProtection="1" quotePrefix="1">
      <alignment/>
      <protection/>
    </xf>
    <xf numFmtId="4" fontId="19" fillId="35" borderId="0" xfId="0" applyNumberFormat="1" applyFont="1" applyFill="1" applyBorder="1" applyAlignment="1" applyProtection="1">
      <alignment/>
      <protection/>
    </xf>
    <xf numFmtId="44" fontId="0" fillId="35" borderId="50" xfId="0" applyNumberFormat="1" applyFill="1" applyBorder="1" applyAlignment="1" applyProtection="1">
      <alignment/>
      <protection/>
    </xf>
    <xf numFmtId="0" fontId="17" fillId="35" borderId="0" xfId="42" applyNumberFormat="1" applyFont="1" applyFill="1" applyBorder="1" applyAlignment="1" applyProtection="1">
      <alignment/>
      <protection/>
    </xf>
    <xf numFmtId="0" fontId="28" fillId="35" borderId="0" xfId="0" applyFont="1" applyFill="1" applyBorder="1" applyAlignment="1" applyProtection="1">
      <alignment horizontal="center"/>
      <protection/>
    </xf>
    <xf numFmtId="44" fontId="28" fillId="35" borderId="0" xfId="42" applyNumberFormat="1" applyFont="1" applyFill="1" applyBorder="1" applyAlignment="1" applyProtection="1">
      <alignment/>
      <protection/>
    </xf>
    <xf numFmtId="0" fontId="41" fillId="35" borderId="0" xfId="0" applyFont="1" applyFill="1" applyBorder="1" applyAlignment="1" applyProtection="1">
      <alignment/>
      <protection/>
    </xf>
    <xf numFmtId="0" fontId="11" fillId="35" borderId="0" xfId="0" applyFont="1" applyFill="1" applyBorder="1" applyAlignment="1" applyProtection="1">
      <alignment/>
      <protection/>
    </xf>
    <xf numFmtId="0" fontId="49" fillId="35" borderId="0" xfId="0" applyNumberFormat="1" applyFont="1" applyFill="1" applyBorder="1" applyAlignment="1" applyProtection="1">
      <alignment/>
      <protection/>
    </xf>
    <xf numFmtId="0" fontId="43" fillId="35" borderId="30" xfId="0" applyFont="1" applyFill="1" applyBorder="1" applyAlignment="1" applyProtection="1">
      <alignment/>
      <protection/>
    </xf>
    <xf numFmtId="0" fontId="43" fillId="35" borderId="30" xfId="0" applyFont="1" applyFill="1" applyBorder="1" applyAlignment="1" applyProtection="1">
      <alignment/>
      <protection/>
    </xf>
    <xf numFmtId="0" fontId="0" fillId="35" borderId="30" xfId="0" applyFill="1" applyBorder="1" applyAlignment="1" applyProtection="1">
      <alignment/>
      <protection/>
    </xf>
    <xf numFmtId="0" fontId="0" fillId="35" borderId="64" xfId="0" applyFill="1" applyBorder="1" applyAlignment="1" applyProtection="1">
      <alignment/>
      <protection/>
    </xf>
    <xf numFmtId="0" fontId="0" fillId="41" borderId="0" xfId="0" applyFill="1" applyBorder="1" applyAlignment="1" applyProtection="1">
      <alignment horizontal="right"/>
      <protection/>
    </xf>
    <xf numFmtId="2" fontId="41" fillId="41" borderId="0" xfId="0" applyNumberFormat="1" applyFont="1" applyFill="1" applyBorder="1" applyAlignment="1" applyProtection="1" quotePrefix="1">
      <alignment horizontal="right"/>
      <protection/>
    </xf>
    <xf numFmtId="0" fontId="0" fillId="41" borderId="0" xfId="0" applyFill="1" applyBorder="1" applyAlignment="1" applyProtection="1">
      <alignment/>
      <protection/>
    </xf>
    <xf numFmtId="0" fontId="0" fillId="41" borderId="20" xfId="0" applyFill="1" applyBorder="1" applyAlignment="1" applyProtection="1">
      <alignment/>
      <protection/>
    </xf>
    <xf numFmtId="0" fontId="0" fillId="41" borderId="0" xfId="0" applyNumberFormat="1" applyFill="1" applyBorder="1" applyAlignment="1" applyProtection="1">
      <alignment/>
      <protection/>
    </xf>
    <xf numFmtId="0" fontId="0" fillId="41" borderId="0" xfId="0" applyNumberFormat="1" applyFill="1" applyBorder="1" applyAlignment="1" applyProtection="1">
      <alignment horizontal="right"/>
      <protection/>
    </xf>
    <xf numFmtId="0" fontId="0" fillId="41" borderId="50" xfId="0" applyNumberFormat="1" applyFill="1" applyBorder="1" applyAlignment="1" applyProtection="1">
      <alignment/>
      <protection/>
    </xf>
    <xf numFmtId="0" fontId="0" fillId="41" borderId="22" xfId="0" applyFill="1" applyBorder="1" applyAlignment="1" applyProtection="1">
      <alignment/>
      <protection/>
    </xf>
    <xf numFmtId="0" fontId="0" fillId="41" borderId="23" xfId="0" applyFill="1" applyBorder="1" applyAlignment="1" applyProtection="1">
      <alignment/>
      <protection/>
    </xf>
    <xf numFmtId="0" fontId="0" fillId="41" borderId="0" xfId="0" applyNumberFormat="1" applyFill="1" applyBorder="1" applyAlignment="1" applyProtection="1" quotePrefix="1">
      <alignment horizontal="right"/>
      <protection/>
    </xf>
    <xf numFmtId="178" fontId="41" fillId="42" borderId="49" xfId="0" applyNumberFormat="1" applyFont="1" applyFill="1" applyBorder="1" applyAlignment="1" applyProtection="1">
      <alignment/>
      <protection/>
    </xf>
    <xf numFmtId="178" fontId="46" fillId="42" borderId="0" xfId="42" applyNumberFormat="1" applyFont="1" applyFill="1" applyBorder="1" applyAlignment="1" applyProtection="1" quotePrefix="1">
      <alignment/>
      <protection/>
    </xf>
    <xf numFmtId="178" fontId="41" fillId="42" borderId="0" xfId="42" applyNumberFormat="1" applyFont="1" applyFill="1" applyBorder="1" applyAlignment="1" applyProtection="1">
      <alignment horizontal="right"/>
      <protection/>
    </xf>
    <xf numFmtId="178" fontId="41" fillId="42" borderId="0" xfId="0" applyNumberFormat="1" applyFont="1" applyFill="1" applyBorder="1" applyAlignment="1" applyProtection="1" quotePrefix="1">
      <alignment/>
      <protection/>
    </xf>
    <xf numFmtId="178" fontId="41" fillId="42" borderId="0" xfId="0" applyNumberFormat="1" applyFont="1" applyFill="1" applyBorder="1" applyAlignment="1" applyProtection="1">
      <alignment/>
      <protection/>
    </xf>
    <xf numFmtId="0" fontId="41" fillId="42" borderId="0" xfId="0" applyFont="1" applyFill="1" applyBorder="1" applyAlignment="1" applyProtection="1">
      <alignment/>
      <protection/>
    </xf>
    <xf numFmtId="0" fontId="43" fillId="42" borderId="20" xfId="0" applyFont="1" applyFill="1" applyBorder="1" applyAlignment="1" applyProtection="1">
      <alignment/>
      <protection/>
    </xf>
    <xf numFmtId="178" fontId="0" fillId="35" borderId="0" xfId="0" applyNumberFormat="1" applyFill="1" applyBorder="1" applyAlignment="1" applyProtection="1">
      <alignment/>
      <protection/>
    </xf>
    <xf numFmtId="40" fontId="48" fillId="42" borderId="0" xfId="42" applyNumberFormat="1" applyFont="1" applyFill="1" applyBorder="1" applyAlignment="1" applyProtection="1">
      <alignment/>
      <protection/>
    </xf>
    <xf numFmtId="0" fontId="43" fillId="42" borderId="0" xfId="0" applyFont="1" applyFill="1" applyBorder="1" applyAlignment="1" applyProtection="1">
      <alignment/>
      <protection/>
    </xf>
    <xf numFmtId="40" fontId="0" fillId="35" borderId="0" xfId="0" applyNumberFormat="1" applyFill="1" applyBorder="1" applyAlignment="1" applyProtection="1">
      <alignment/>
      <protection/>
    </xf>
    <xf numFmtId="0" fontId="0" fillId="35" borderId="50" xfId="0" applyFill="1" applyBorder="1" applyAlignment="1" applyProtection="1">
      <alignment/>
      <protection/>
    </xf>
    <xf numFmtId="0" fontId="0" fillId="0" borderId="54" xfId="0" applyBorder="1" applyAlignment="1">
      <alignment wrapText="1"/>
    </xf>
    <xf numFmtId="0" fontId="0" fillId="0" borderId="0" xfId="0" applyBorder="1" applyAlignment="1">
      <alignment wrapText="1"/>
    </xf>
    <xf numFmtId="0" fontId="37" fillId="43" borderId="0" xfId="0" applyFont="1" applyFill="1" applyAlignment="1">
      <alignment/>
    </xf>
    <xf numFmtId="0" fontId="0" fillId="43" borderId="0" xfId="0" applyFill="1" applyAlignment="1">
      <alignment/>
    </xf>
    <xf numFmtId="173" fontId="57" fillId="40" borderId="0" xfId="42" applyNumberFormat="1" applyFont="1" applyFill="1" applyAlignment="1" applyProtection="1">
      <alignment/>
      <protection locked="0"/>
    </xf>
    <xf numFmtId="173" fontId="57" fillId="40" borderId="65" xfId="42" applyNumberFormat="1" applyFont="1" applyFill="1" applyBorder="1" applyAlignment="1" applyProtection="1">
      <alignment/>
      <protection locked="0"/>
    </xf>
    <xf numFmtId="0" fontId="3" fillId="49" borderId="0" xfId="55" applyFill="1">
      <alignment/>
      <protection/>
    </xf>
    <xf numFmtId="0" fontId="3" fillId="50" borderId="0" xfId="55" applyFill="1">
      <alignment/>
      <protection/>
    </xf>
    <xf numFmtId="0" fontId="3" fillId="49" borderId="0" xfId="55" applyFill="1" applyAlignment="1">
      <alignment horizontal="center"/>
      <protection/>
    </xf>
    <xf numFmtId="0" fontId="3" fillId="49" borderId="0" xfId="55" applyFont="1" applyFill="1">
      <alignment/>
      <protection/>
    </xf>
    <xf numFmtId="0" fontId="5" fillId="50" borderId="0" xfId="55" applyFont="1" applyFill="1">
      <alignment/>
      <protection/>
    </xf>
    <xf numFmtId="0" fontId="3" fillId="50" borderId="0" xfId="55" applyFont="1" applyFill="1">
      <alignment/>
      <protection/>
    </xf>
    <xf numFmtId="0" fontId="0" fillId="50" borderId="0" xfId="55" applyFont="1" applyFill="1">
      <alignment/>
      <protection/>
    </xf>
    <xf numFmtId="0" fontId="4" fillId="50" borderId="0" xfId="55" applyFont="1" applyFill="1" applyAlignment="1">
      <alignment horizontal="left"/>
      <protection/>
    </xf>
    <xf numFmtId="180" fontId="3" fillId="0" borderId="0" xfId="55" applyNumberFormat="1" applyFont="1" applyAlignment="1">
      <alignment horizontal="left"/>
      <protection/>
    </xf>
    <xf numFmtId="0" fontId="53" fillId="43" borderId="37" xfId="55" applyFont="1" applyFill="1" applyBorder="1" applyAlignment="1">
      <alignment horizontal="left" wrapText="1"/>
      <protection/>
    </xf>
    <xf numFmtId="0" fontId="56" fillId="43" borderId="37" xfId="55" applyFont="1" applyFill="1" applyBorder="1" applyAlignment="1">
      <alignment horizontal="left"/>
      <protection/>
    </xf>
    <xf numFmtId="0" fontId="56" fillId="43" borderId="36" xfId="55" applyFont="1" applyFill="1" applyBorder="1" applyAlignment="1">
      <alignment/>
      <protection/>
    </xf>
    <xf numFmtId="0" fontId="56" fillId="44" borderId="37" xfId="55" applyFont="1" applyFill="1" applyBorder="1" applyAlignment="1">
      <alignment horizontal="left"/>
      <protection/>
    </xf>
    <xf numFmtId="0" fontId="56" fillId="44" borderId="37" xfId="55" applyFont="1" applyFill="1" applyBorder="1" applyAlignment="1">
      <alignment horizontal="left" wrapText="1"/>
      <protection/>
    </xf>
    <xf numFmtId="0" fontId="2" fillId="0" borderId="29" xfId="0" applyFont="1" applyBorder="1" applyAlignment="1">
      <alignment horizontal="left" wrapText="1"/>
    </xf>
    <xf numFmtId="0" fontId="3" fillId="41" borderId="0" xfId="55" applyFill="1">
      <alignment/>
      <protection/>
    </xf>
    <xf numFmtId="183" fontId="0" fillId="0" borderId="36" xfId="44" applyNumberFormat="1" applyFont="1" applyFill="1" applyBorder="1" applyAlignment="1">
      <alignment/>
    </xf>
    <xf numFmtId="183" fontId="0" fillId="0" borderId="37" xfId="44" applyNumberFormat="1" applyFont="1" applyFill="1" applyBorder="1" applyAlignment="1">
      <alignment/>
    </xf>
    <xf numFmtId="183" fontId="0" fillId="0" borderId="37" xfId="55" applyNumberFormat="1" applyFont="1" applyFill="1" applyBorder="1" applyAlignment="1">
      <alignment/>
      <protection/>
    </xf>
    <xf numFmtId="183" fontId="7" fillId="0" borderId="37" xfId="55" applyNumberFormat="1" applyFont="1" applyFill="1" applyBorder="1" applyAlignment="1">
      <alignment/>
      <protection/>
    </xf>
    <xf numFmtId="183" fontId="0" fillId="43" borderId="36" xfId="44" applyNumberFormat="1" applyFont="1" applyFill="1" applyBorder="1" applyAlignment="1">
      <alignment/>
    </xf>
    <xf numFmtId="183" fontId="52" fillId="0" borderId="37" xfId="55" applyNumberFormat="1" applyFont="1" applyFill="1" applyBorder="1" applyAlignment="1">
      <alignment/>
      <protection/>
    </xf>
    <xf numFmtId="183" fontId="52" fillId="44" borderId="37" xfId="55" applyNumberFormat="1" applyFont="1" applyFill="1" applyBorder="1" applyAlignment="1">
      <alignment/>
      <protection/>
    </xf>
    <xf numFmtId="183" fontId="55" fillId="43" borderId="38" xfId="44" applyNumberFormat="1" applyFont="1" applyFill="1" applyBorder="1" applyAlignment="1">
      <alignment/>
    </xf>
    <xf numFmtId="183" fontId="57" fillId="40" borderId="0" xfId="0" applyNumberFormat="1" applyFont="1" applyFill="1" applyAlignment="1" applyProtection="1">
      <alignment/>
      <protection locked="0"/>
    </xf>
    <xf numFmtId="183" fontId="57" fillId="40" borderId="65" xfId="0" applyNumberFormat="1" applyFont="1" applyFill="1" applyBorder="1" applyAlignment="1" applyProtection="1">
      <alignment/>
      <protection locked="0"/>
    </xf>
    <xf numFmtId="183" fontId="38" fillId="40" borderId="0" xfId="56" applyNumberFormat="1" applyFont="1" applyFill="1" applyBorder="1" applyProtection="1">
      <alignment/>
      <protection locked="0"/>
    </xf>
    <xf numFmtId="183" fontId="2" fillId="0" borderId="0" xfId="56" applyNumberFormat="1" applyFill="1" applyBorder="1" applyProtection="1">
      <alignment/>
      <protection locked="0"/>
    </xf>
    <xf numFmtId="183" fontId="38" fillId="43" borderId="0" xfId="56" applyNumberFormat="1" applyFont="1" applyFill="1" applyBorder="1" applyProtection="1">
      <alignment/>
      <protection locked="0"/>
    </xf>
    <xf numFmtId="183" fontId="38" fillId="40" borderId="42" xfId="56" applyNumberFormat="1" applyFont="1" applyFill="1" applyBorder="1" applyProtection="1">
      <alignment/>
      <protection locked="0"/>
    </xf>
    <xf numFmtId="183" fontId="2" fillId="0" borderId="42" xfId="44" applyNumberFormat="1" applyFont="1" applyFill="1" applyBorder="1" applyAlignment="1" applyProtection="1">
      <alignment/>
      <protection locked="0"/>
    </xf>
    <xf numFmtId="184" fontId="38" fillId="40" borderId="42" xfId="44" applyNumberFormat="1" applyFont="1" applyFill="1" applyBorder="1" applyAlignment="1" applyProtection="1">
      <alignment/>
      <protection locked="0"/>
    </xf>
    <xf numFmtId="0" fontId="3" fillId="0" borderId="10" xfId="55" applyFont="1" applyBorder="1">
      <alignment/>
      <protection/>
    </xf>
    <xf numFmtId="0" fontId="3" fillId="0" borderId="10" xfId="55" applyFont="1" applyBorder="1" applyAlignment="1" quotePrefix="1">
      <alignment horizontal="left"/>
      <protection/>
    </xf>
    <xf numFmtId="0" fontId="3" fillId="0" borderId="10" xfId="55" applyFont="1" applyBorder="1" applyAlignment="1">
      <alignment horizontal="left"/>
      <protection/>
    </xf>
    <xf numFmtId="0" fontId="7" fillId="35" borderId="10" xfId="55" applyFont="1" applyFill="1" applyBorder="1" applyAlignment="1">
      <alignment horizontal="left"/>
      <protection/>
    </xf>
    <xf numFmtId="0" fontId="7" fillId="35" borderId="0" xfId="55" applyFont="1" applyFill="1" applyAlignment="1">
      <alignment horizontal="left"/>
      <protection/>
    </xf>
    <xf numFmtId="0" fontId="7" fillId="0" borderId="10" xfId="55" applyFont="1" applyBorder="1" applyAlignment="1">
      <alignment horizontal="left"/>
      <protection/>
    </xf>
    <xf numFmtId="0" fontId="3" fillId="36" borderId="10" xfId="55" applyFont="1" applyFill="1" applyBorder="1" applyAlignment="1">
      <alignment horizontal="left"/>
      <protection/>
    </xf>
    <xf numFmtId="0" fontId="7" fillId="36" borderId="10" xfId="55" applyFont="1" applyFill="1" applyBorder="1" applyAlignment="1">
      <alignment horizontal="left"/>
      <protection/>
    </xf>
    <xf numFmtId="43" fontId="11" fillId="36" borderId="13" xfId="42" applyNumberFormat="1" applyFont="1" applyFill="1" applyBorder="1" applyAlignment="1" applyProtection="1">
      <alignment horizontal="center"/>
      <protection locked="0"/>
    </xf>
    <xf numFmtId="0" fontId="3" fillId="36" borderId="0" xfId="55" applyFont="1" applyFill="1">
      <alignment/>
      <protection/>
    </xf>
    <xf numFmtId="0" fontId="3" fillId="0" borderId="19" xfId="55" applyFont="1" applyBorder="1" applyAlignment="1">
      <alignment horizontal="right"/>
      <protection/>
    </xf>
    <xf numFmtId="0" fontId="3" fillId="0" borderId="19" xfId="55" applyFont="1" applyFill="1" applyBorder="1" applyAlignment="1">
      <alignment horizontal="right"/>
      <protection/>
    </xf>
    <xf numFmtId="0" fontId="3" fillId="0" borderId="10" xfId="55" applyFont="1" applyFill="1" applyBorder="1" applyAlignment="1">
      <alignment horizontal="left"/>
      <protection/>
    </xf>
    <xf numFmtId="0" fontId="3" fillId="0" borderId="10" xfId="55" applyFont="1" applyFill="1" applyBorder="1">
      <alignment/>
      <protection/>
    </xf>
    <xf numFmtId="0" fontId="21" fillId="0" borderId="10" xfId="55" applyFont="1" applyFill="1" applyBorder="1" applyAlignment="1">
      <alignment horizontal="left"/>
      <protection/>
    </xf>
    <xf numFmtId="0" fontId="5" fillId="0" borderId="10" xfId="55" applyFont="1" applyFill="1" applyBorder="1" applyAlignment="1">
      <alignment horizontal="left"/>
      <protection/>
    </xf>
    <xf numFmtId="0" fontId="3" fillId="35" borderId="10" xfId="55" applyFill="1" applyBorder="1" applyAlignment="1">
      <alignment wrapText="1"/>
      <protection/>
    </xf>
    <xf numFmtId="0" fontId="19" fillId="35" borderId="10" xfId="55" applyFont="1" applyFill="1" applyBorder="1" applyAlignment="1">
      <alignment wrapText="1"/>
      <protection/>
    </xf>
    <xf numFmtId="0" fontId="3" fillId="41" borderId="0" xfId="55" applyFont="1" applyFill="1">
      <alignment/>
      <protection/>
    </xf>
    <xf numFmtId="0" fontId="2" fillId="43" borderId="28" xfId="56" applyFont="1" applyFill="1" applyBorder="1" applyProtection="1">
      <alignment/>
      <protection locked="0"/>
    </xf>
    <xf numFmtId="170" fontId="2" fillId="0" borderId="0" xfId="56" applyNumberFormat="1" applyFont="1" applyBorder="1" applyAlignment="1" applyProtection="1">
      <alignment horizontal="left"/>
      <protection locked="0"/>
    </xf>
    <xf numFmtId="185" fontId="18" fillId="0" borderId="0" xfId="44" applyNumberFormat="1" applyFont="1" applyFill="1" applyBorder="1" applyAlignment="1" applyProtection="1" quotePrefix="1">
      <alignment/>
      <protection/>
    </xf>
    <xf numFmtId="185" fontId="18" fillId="0" borderId="0" xfId="44" applyNumberFormat="1" applyFont="1" applyFill="1" applyBorder="1" applyAlignment="1" applyProtection="1">
      <alignment/>
      <protection/>
    </xf>
    <xf numFmtId="170" fontId="23" fillId="0" borderId="0" xfId="56" applyNumberFormat="1" applyFont="1" applyAlignment="1" applyProtection="1">
      <alignment horizontal="left"/>
      <protection/>
    </xf>
    <xf numFmtId="0" fontId="2" fillId="0" borderId="43" xfId="56" applyFont="1" applyBorder="1" applyAlignment="1" applyProtection="1">
      <alignment horizontal="left"/>
      <protection locked="0"/>
    </xf>
    <xf numFmtId="186" fontId="2" fillId="0" borderId="0" xfId="56" applyNumberFormat="1" applyProtection="1">
      <alignment/>
      <protection/>
    </xf>
    <xf numFmtId="186" fontId="2" fillId="0" borderId="65" xfId="56" applyNumberFormat="1" applyBorder="1" applyProtection="1">
      <alignment/>
      <protection/>
    </xf>
    <xf numFmtId="186" fontId="2" fillId="0" borderId="66" xfId="56" applyNumberFormat="1" applyBorder="1" applyProtection="1">
      <alignment/>
      <protection/>
    </xf>
    <xf numFmtId="186" fontId="2" fillId="0" borderId="67" xfId="56" applyNumberFormat="1" applyBorder="1" applyProtection="1">
      <alignment/>
      <protection/>
    </xf>
    <xf numFmtId="186" fontId="2" fillId="0" borderId="0" xfId="44" applyNumberFormat="1" applyFont="1" applyAlignment="1" applyProtection="1">
      <alignment/>
      <protection/>
    </xf>
    <xf numFmtId="186" fontId="2" fillId="0" borderId="66" xfId="44" applyNumberFormat="1" applyFont="1" applyBorder="1" applyAlignment="1" applyProtection="1">
      <alignment/>
      <protection/>
    </xf>
    <xf numFmtId="186" fontId="2" fillId="0" borderId="39" xfId="56" applyNumberFormat="1" applyBorder="1" applyProtection="1">
      <alignment/>
      <protection/>
    </xf>
    <xf numFmtId="186" fontId="2" fillId="0" borderId="61" xfId="56" applyNumberFormat="1" applyBorder="1" applyProtection="1">
      <alignment/>
      <protection/>
    </xf>
    <xf numFmtId="186" fontId="2" fillId="0" borderId="0" xfId="56" applyNumberFormat="1" applyAlignment="1">
      <alignment wrapText="1"/>
      <protection/>
    </xf>
    <xf numFmtId="186" fontId="2" fillId="0" borderId="0" xfId="56" applyNumberFormat="1">
      <alignment/>
      <protection/>
    </xf>
    <xf numFmtId="186" fontId="30" fillId="38" borderId="26" xfId="56" applyNumberFormat="1" applyFont="1" applyFill="1" applyBorder="1" applyAlignment="1" applyProtection="1">
      <alignment horizontal="centerContinuous"/>
      <protection/>
    </xf>
    <xf numFmtId="186" fontId="30" fillId="38" borderId="27" xfId="56" applyNumberFormat="1" applyFont="1" applyFill="1" applyBorder="1" applyAlignment="1" applyProtection="1">
      <alignment horizontal="centerContinuous"/>
      <protection/>
    </xf>
    <xf numFmtId="186" fontId="30" fillId="38" borderId="61" xfId="56" applyNumberFormat="1" applyFont="1" applyFill="1" applyBorder="1" applyAlignment="1" applyProtection="1">
      <alignment horizontal="center"/>
      <protection/>
    </xf>
    <xf numFmtId="186" fontId="2" fillId="0" borderId="0" xfId="56" applyNumberFormat="1" applyFont="1" applyFill="1" applyProtection="1">
      <alignment/>
      <protection/>
    </xf>
    <xf numFmtId="186" fontId="19" fillId="0" borderId="0" xfId="0" applyNumberFormat="1" applyFont="1" applyFill="1" applyAlignment="1" applyProtection="1">
      <alignment/>
      <protection hidden="1"/>
    </xf>
    <xf numFmtId="186" fontId="2" fillId="0" borderId="66" xfId="56" applyNumberFormat="1" applyFont="1" applyBorder="1" applyProtection="1">
      <alignment/>
      <protection/>
    </xf>
    <xf numFmtId="0" fontId="30" fillId="38" borderId="39" xfId="56" applyNumberFormat="1" applyFont="1" applyFill="1" applyBorder="1" applyAlignment="1" applyProtection="1">
      <alignment horizontal="center"/>
      <protection/>
    </xf>
    <xf numFmtId="186" fontId="36" fillId="39" borderId="0" xfId="56" applyNumberFormat="1" applyFont="1" applyFill="1" applyProtection="1">
      <alignment/>
      <protection/>
    </xf>
    <xf numFmtId="185" fontId="36" fillId="0" borderId="0" xfId="44" applyNumberFormat="1" applyFont="1" applyAlignment="1" applyProtection="1">
      <alignment/>
      <protection/>
    </xf>
    <xf numFmtId="170" fontId="57" fillId="0" borderId="43" xfId="56" applyNumberFormat="1" applyFont="1" applyBorder="1" applyAlignment="1" applyProtection="1">
      <alignment horizontal="left"/>
      <protection locked="0"/>
    </xf>
    <xf numFmtId="170" fontId="2" fillId="0" borderId="68" xfId="56" applyNumberFormat="1" applyFont="1" applyBorder="1" applyAlignment="1" applyProtection="1">
      <alignment horizontal="left"/>
      <protection locked="0"/>
    </xf>
    <xf numFmtId="170" fontId="2" fillId="43" borderId="0" xfId="56" applyNumberFormat="1" applyFont="1" applyFill="1" applyProtection="1">
      <alignment/>
      <protection/>
    </xf>
    <xf numFmtId="0" fontId="2" fillId="43" borderId="56" xfId="56" applyFont="1" applyFill="1" applyBorder="1">
      <alignment/>
      <protection/>
    </xf>
    <xf numFmtId="170" fontId="0" fillId="0" borderId="0" xfId="56" applyNumberFormat="1" applyFont="1" applyBorder="1" applyAlignment="1" applyProtection="1">
      <alignment horizontal="left"/>
      <protection locked="0"/>
    </xf>
    <xf numFmtId="170" fontId="57" fillId="0" borderId="0" xfId="56" applyNumberFormat="1" applyFont="1" applyBorder="1" applyAlignment="1" applyProtection="1">
      <alignment horizontal="left"/>
      <protection locked="0"/>
    </xf>
    <xf numFmtId="170" fontId="2" fillId="0" borderId="0" xfId="56" applyNumberFormat="1" applyFont="1" applyBorder="1" applyAlignment="1" applyProtection="1">
      <alignment horizontal="left" indent="1"/>
      <protection locked="0"/>
    </xf>
    <xf numFmtId="0" fontId="2" fillId="0" borderId="0" xfId="56" applyFont="1" applyAlignment="1">
      <alignment wrapText="1"/>
      <protection/>
    </xf>
    <xf numFmtId="0" fontId="2" fillId="0" borderId="39" xfId="56" applyFont="1" applyBorder="1" applyAlignment="1">
      <alignment wrapText="1"/>
      <protection/>
    </xf>
    <xf numFmtId="170" fontId="30" fillId="38" borderId="69" xfId="56" applyNumberFormat="1" applyFont="1" applyFill="1" applyBorder="1" applyAlignment="1" applyProtection="1">
      <alignment horizontal="left"/>
      <protection/>
    </xf>
    <xf numFmtId="170" fontId="0" fillId="0" borderId="29" xfId="56" applyNumberFormat="1" applyFont="1" applyBorder="1" applyProtection="1">
      <alignment/>
      <protection/>
    </xf>
    <xf numFmtId="170" fontId="2" fillId="0" borderId="29" xfId="56" applyNumberFormat="1" applyFont="1" applyBorder="1" applyAlignment="1" applyProtection="1">
      <alignment horizontal="left"/>
      <protection/>
    </xf>
    <xf numFmtId="170" fontId="2" fillId="0" borderId="70" xfId="56" applyNumberFormat="1" applyFont="1" applyBorder="1" applyProtection="1">
      <alignment/>
      <protection/>
    </xf>
    <xf numFmtId="170" fontId="2" fillId="0" borderId="25" xfId="56" applyNumberFormat="1" applyFont="1" applyBorder="1" applyAlignment="1" applyProtection="1">
      <alignment horizontal="left"/>
      <protection/>
    </xf>
    <xf numFmtId="170" fontId="30" fillId="38" borderId="71" xfId="56" applyNumberFormat="1" applyFont="1" applyFill="1" applyBorder="1" applyAlignment="1" applyProtection="1">
      <alignment horizontal="left"/>
      <protection/>
    </xf>
    <xf numFmtId="170" fontId="0" fillId="0" borderId="70" xfId="56" applyNumberFormat="1" applyFont="1" applyBorder="1" applyAlignment="1" applyProtection="1">
      <alignment horizontal="left"/>
      <protection/>
    </xf>
    <xf numFmtId="170" fontId="33" fillId="43" borderId="0" xfId="56" applyNumberFormat="1" applyFont="1" applyFill="1" applyAlignment="1" applyProtection="1">
      <alignment/>
      <protection/>
    </xf>
    <xf numFmtId="0" fontId="2" fillId="0" borderId="0" xfId="0" applyNumberFormat="1" applyFont="1" applyFill="1" applyBorder="1" applyAlignment="1" applyProtection="1">
      <alignment wrapText="1"/>
      <protection locked="0"/>
    </xf>
    <xf numFmtId="170" fontId="0" fillId="37" borderId="0" xfId="56" applyNumberFormat="1" applyFont="1" applyFill="1" applyAlignment="1" applyProtection="1">
      <alignment vertical="top" wrapText="1"/>
      <protection/>
    </xf>
    <xf numFmtId="0" fontId="0" fillId="50" borderId="0" xfId="55" applyFont="1" applyFill="1" applyAlignment="1">
      <alignment/>
      <protection/>
    </xf>
    <xf numFmtId="0" fontId="3" fillId="51" borderId="0" xfId="55" applyFill="1">
      <alignment/>
      <protection/>
    </xf>
    <xf numFmtId="0" fontId="0" fillId="51" borderId="0" xfId="0" applyFill="1" applyAlignment="1">
      <alignment/>
    </xf>
    <xf numFmtId="0" fontId="33" fillId="35" borderId="72" xfId="55" applyFont="1" applyFill="1" applyBorder="1" applyAlignment="1">
      <alignment/>
      <protection/>
    </xf>
    <xf numFmtId="0" fontId="0" fillId="0" borderId="0" xfId="0" applyFill="1" applyAlignment="1">
      <alignment/>
    </xf>
    <xf numFmtId="0" fontId="2" fillId="48" borderId="17" xfId="0" applyFont="1" applyFill="1" applyBorder="1" applyAlignment="1">
      <alignment/>
    </xf>
    <xf numFmtId="0" fontId="2" fillId="48" borderId="0" xfId="0" applyFont="1" applyFill="1" applyAlignment="1">
      <alignment/>
    </xf>
    <xf numFmtId="0" fontId="0" fillId="37" borderId="0" xfId="56" applyFont="1" applyFill="1" applyAlignment="1">
      <alignment vertical="top" wrapText="1"/>
      <protection/>
    </xf>
    <xf numFmtId="0" fontId="0" fillId="37" borderId="0" xfId="56" applyFont="1" applyFill="1" applyAlignment="1">
      <alignment vertical="top"/>
      <protection/>
    </xf>
    <xf numFmtId="170" fontId="2" fillId="0" borderId="0" xfId="56" applyNumberFormat="1" applyFont="1" applyBorder="1" applyAlignment="1" applyProtection="1">
      <alignment/>
      <protection/>
    </xf>
    <xf numFmtId="170" fontId="2" fillId="0" borderId="0" xfId="56" applyNumberFormat="1" applyBorder="1" applyAlignment="1" applyProtection="1">
      <alignment/>
      <protection/>
    </xf>
    <xf numFmtId="170" fontId="37" fillId="0" borderId="73" xfId="56" applyNumberFormat="1" applyFont="1" applyBorder="1" applyAlignment="1" applyProtection="1">
      <alignment/>
      <protection locked="0"/>
    </xf>
    <xf numFmtId="170" fontId="37" fillId="0" borderId="74" xfId="56" applyNumberFormat="1" applyFont="1" applyBorder="1" applyAlignment="1" applyProtection="1">
      <alignment/>
      <protection locked="0"/>
    </xf>
    <xf numFmtId="170" fontId="23" fillId="0" borderId="44" xfId="56" applyNumberFormat="1" applyFont="1" applyBorder="1" applyAlignment="1" applyProtection="1">
      <alignment/>
      <protection/>
    </xf>
    <xf numFmtId="0" fontId="2" fillId="0" borderId="0" xfId="56" applyAlignment="1" quotePrefix="1">
      <alignment vertical="top" wrapText="1"/>
      <protection/>
    </xf>
    <xf numFmtId="0" fontId="2" fillId="0" borderId="0" xfId="56" applyFont="1" applyAlignment="1">
      <alignment vertical="top"/>
      <protection/>
    </xf>
    <xf numFmtId="170" fontId="0" fillId="37" borderId="0" xfId="56" applyNumberFormat="1" applyFont="1" applyFill="1" applyAlignment="1" applyProtection="1">
      <alignment vertical="top"/>
      <protection/>
    </xf>
    <xf numFmtId="0" fontId="29" fillId="0" borderId="0" xfId="56" applyFont="1" applyAlignment="1">
      <alignment/>
      <protection/>
    </xf>
    <xf numFmtId="0" fontId="2" fillId="0" borderId="0" xfId="56" applyFont="1" applyAlignment="1">
      <alignment/>
      <protection/>
    </xf>
    <xf numFmtId="0" fontId="2" fillId="0" borderId="0" xfId="56" applyAlignment="1">
      <alignment/>
      <protection/>
    </xf>
    <xf numFmtId="170" fontId="0" fillId="37" borderId="0" xfId="56" applyNumberFormat="1" applyFont="1" applyFill="1" applyAlignment="1" applyProtection="1" quotePrefix="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chinery Tools" xfId="55"/>
    <cellStyle name="Normal_Ontario Equipment  Lease Analyzer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10000"/>
                </a:solidFill>
                <a:latin typeface="Arial"/>
                <a:ea typeface="Arial"/>
                <a:cs typeface="Arial"/>
              </a:rPr>
              <a:t>Achat ou location de l'équipement?</a:t>
            </a:r>
          </a:p>
        </c:rich>
      </c:tx>
      <c:layout>
        <c:manualLayout>
          <c:xMode val="factor"/>
          <c:yMode val="factor"/>
          <c:x val="-0.00225"/>
          <c:y val="-0.00175"/>
        </c:manualLayout>
      </c:layout>
      <c:spPr>
        <a:solidFill>
          <a:srgbClr val="FFFFFF"/>
        </a:solidFill>
        <a:ln w="12700">
          <a:solidFill>
            <a:srgbClr val="010000"/>
          </a:solidFill>
        </a:ln>
        <a:effectLst>
          <a:outerShdw dist="35921" dir="2700000" algn="br">
            <a:prstClr val="black"/>
          </a:outerShdw>
        </a:effectLst>
      </c:spPr>
    </c:title>
    <c:plotArea>
      <c:layout>
        <c:manualLayout>
          <c:xMode val="edge"/>
          <c:yMode val="edge"/>
          <c:x val="0.042"/>
          <c:y val="0.21875"/>
          <c:w val="0.848"/>
          <c:h val="0.68725"/>
        </c:manualLayout>
      </c:layout>
      <c:barChart>
        <c:barDir val="col"/>
        <c:grouping val="clustered"/>
        <c:varyColors val="0"/>
        <c:ser>
          <c:idx val="0"/>
          <c:order val="0"/>
          <c:tx>
            <c:v>Acheter</c:v>
          </c:tx>
          <c:spPr>
            <a:solidFill>
              <a:srgbClr val="FF0000"/>
            </a:solidFill>
            <a:ln w="12700">
              <a:solidFill>
                <a:srgbClr val="01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'Bail ou achat'!$C$60:$M$60</c:f>
              <c:numCache>
                <c:ptCount val="11"/>
                <c:pt idx="0">
                  <c:v>1</c:v>
                </c:pt>
                <c:pt idx="1">
                  <c:v>2</c:v>
                </c:pt>
                <c:pt idx="2">
                  <c:v>3</c:v>
                </c:pt>
                <c:pt idx="3">
                  <c:v>4</c:v>
                </c:pt>
                <c:pt idx="4">
                  <c:v>5</c:v>
                </c:pt>
                <c:pt idx="5">
                  <c:v>6</c:v>
                </c:pt>
                <c:pt idx="6">
                  <c:v>7</c:v>
                </c:pt>
                <c:pt idx="7">
                  <c:v>8</c:v>
                </c:pt>
                <c:pt idx="8">
                  <c:v>9</c:v>
                </c:pt>
                <c:pt idx="9">
                  <c:v>10</c:v>
                </c:pt>
                <c:pt idx="10">
                  <c:v>11</c:v>
                </c:pt>
              </c:numCache>
            </c:numRef>
          </c:cat>
          <c:val>
            <c:numRef>
              <c:f>'Bail ou achat'!$C$54:$M$54</c:f>
              <c:numCache>
                <c:ptCount val="11"/>
                <c:pt idx="0">
                  <c:v>-20000</c:v>
                </c:pt>
                <c:pt idx="1">
                  <c:v>-23072.24319367627</c:v>
                </c:pt>
                <c:pt idx="2">
                  <c:v>-18767.24319367627</c:v>
                </c:pt>
                <c:pt idx="3">
                  <c:v>-21903.74319367627</c:v>
                </c:pt>
                <c:pt idx="4">
                  <c:v>36000.46225056102</c:v>
                </c:pt>
                <c:pt idx="5">
                  <c:v>-5762.870894508204</c:v>
                </c:pt>
                <c:pt idx="6">
                  <c:v>0</c:v>
                </c:pt>
                <c:pt idx="7">
                  <c:v>0</c:v>
                </c:pt>
                <c:pt idx="8">
                  <c:v>0</c:v>
                </c:pt>
                <c:pt idx="9">
                  <c:v>0</c:v>
                </c:pt>
                <c:pt idx="10">
                  <c:v>0</c:v>
                </c:pt>
              </c:numCache>
            </c:numRef>
          </c:val>
        </c:ser>
        <c:ser>
          <c:idx val="1"/>
          <c:order val="1"/>
          <c:tx>
            <c:v>Bail</c:v>
          </c:tx>
          <c:spPr>
            <a:solidFill>
              <a:srgbClr val="00FF00"/>
            </a:solidFill>
            <a:ln w="12700">
              <a:solidFill>
                <a:srgbClr val="01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'Bail ou achat'!$C$60:$M$60</c:f>
              <c:numCache>
                <c:ptCount val="11"/>
                <c:pt idx="0">
                  <c:v>1</c:v>
                </c:pt>
                <c:pt idx="1">
                  <c:v>2</c:v>
                </c:pt>
                <c:pt idx="2">
                  <c:v>3</c:v>
                </c:pt>
                <c:pt idx="3">
                  <c:v>4</c:v>
                </c:pt>
                <c:pt idx="4">
                  <c:v>5</c:v>
                </c:pt>
                <c:pt idx="5">
                  <c:v>6</c:v>
                </c:pt>
                <c:pt idx="6">
                  <c:v>7</c:v>
                </c:pt>
                <c:pt idx="7">
                  <c:v>8</c:v>
                </c:pt>
                <c:pt idx="8">
                  <c:v>9</c:v>
                </c:pt>
                <c:pt idx="9">
                  <c:v>10</c:v>
                </c:pt>
                <c:pt idx="10">
                  <c:v>11</c:v>
                </c:pt>
              </c:numCache>
            </c:numRef>
          </c:cat>
          <c:val>
            <c:numRef>
              <c:f>'Bail ou achat'!$C$55:$M$55</c:f>
              <c:numCache>
                <c:ptCount val="11"/>
                <c:pt idx="0">
                  <c:v>-14000</c:v>
                </c:pt>
                <c:pt idx="1">
                  <c:v>-8260</c:v>
                </c:pt>
                <c:pt idx="2">
                  <c:v>-8260</c:v>
                </c:pt>
                <c:pt idx="3">
                  <c:v>-8260</c:v>
                </c:pt>
                <c:pt idx="4">
                  <c:v>5740</c:v>
                </c:pt>
                <c:pt idx="5">
                  <c:v>0</c:v>
                </c:pt>
                <c:pt idx="6">
                  <c:v>0</c:v>
                </c:pt>
                <c:pt idx="7">
                  <c:v>0</c:v>
                </c:pt>
                <c:pt idx="8">
                  <c:v>0</c:v>
                </c:pt>
                <c:pt idx="9">
                  <c:v>0</c:v>
                </c:pt>
                <c:pt idx="10">
                  <c:v>0</c:v>
                </c:pt>
              </c:numCache>
            </c:numRef>
          </c:val>
        </c:ser>
        <c:axId val="1841857"/>
        <c:axId val="16576714"/>
      </c:barChart>
      <c:catAx>
        <c:axId val="1841857"/>
        <c:scaling>
          <c:orientation val="minMax"/>
        </c:scaling>
        <c:axPos val="b"/>
        <c:title>
          <c:tx>
            <c:rich>
              <a:bodyPr vert="horz" rot="0" anchor="ctr"/>
              <a:lstStyle/>
              <a:p>
                <a:pPr algn="ctr">
                  <a:defRPr/>
                </a:pPr>
                <a:r>
                  <a:rPr lang="en-US" cap="none" sz="1000" b="0" i="0" u="none" baseline="0">
                    <a:solidFill>
                      <a:srgbClr val="010000"/>
                    </a:solidFill>
                    <a:latin typeface="Arial"/>
                    <a:ea typeface="Arial"/>
                    <a:cs typeface="Arial"/>
                  </a:rPr>
                  <a:t>Année</a:t>
                </a:r>
              </a:p>
            </c:rich>
          </c:tx>
          <c:layout>
            <c:manualLayout>
              <c:xMode val="factor"/>
              <c:yMode val="factor"/>
              <c:x val="-0.0075"/>
              <c:y val="0.0015"/>
            </c:manualLayout>
          </c:layout>
          <c:overlay val="0"/>
          <c:spPr>
            <a:noFill/>
            <a:ln w="3175">
              <a:noFill/>
            </a:ln>
          </c:spPr>
        </c:title>
        <c:delete val="0"/>
        <c:numFmt formatCode="General" sourceLinked="1"/>
        <c:majorTickMark val="none"/>
        <c:minorTickMark val="in"/>
        <c:tickLblPos val="low"/>
        <c:spPr>
          <a:ln w="12700">
            <a:solidFill>
              <a:srgbClr val="010000"/>
            </a:solidFill>
          </a:ln>
        </c:spPr>
        <c:txPr>
          <a:bodyPr vert="horz" rot="0"/>
          <a:lstStyle/>
          <a:p>
            <a:pPr>
              <a:defRPr lang="en-US" cap="none" sz="900" b="0" i="0" u="none" baseline="0">
                <a:solidFill>
                  <a:srgbClr val="010000"/>
                </a:solidFill>
                <a:latin typeface="Arial"/>
                <a:ea typeface="Arial"/>
                <a:cs typeface="Arial"/>
              </a:defRPr>
            </a:pPr>
          </a:p>
        </c:txPr>
        <c:crossAx val="16576714"/>
        <c:crosses val="autoZero"/>
        <c:auto val="0"/>
        <c:lblOffset val="100"/>
        <c:tickLblSkip val="1"/>
        <c:noMultiLvlLbl val="0"/>
      </c:catAx>
      <c:valAx>
        <c:axId val="16576714"/>
        <c:scaling>
          <c:orientation val="minMax"/>
        </c:scaling>
        <c:axPos val="l"/>
        <c:title>
          <c:tx>
            <c:rich>
              <a:bodyPr vert="horz" rot="-5400000" anchor="ctr"/>
              <a:lstStyle/>
              <a:p>
                <a:pPr algn="ctr">
                  <a:defRPr/>
                </a:pPr>
                <a:r>
                  <a:rPr lang="en-US" cap="none" sz="1000" b="1" i="0" u="none" baseline="0">
                    <a:solidFill>
                      <a:srgbClr val="010000"/>
                    </a:solidFill>
                    <a:latin typeface="Arial"/>
                    <a:ea typeface="Arial"/>
                    <a:cs typeface="Arial"/>
                  </a:rPr>
                  <a:t>Décaissements nets</a:t>
                </a:r>
              </a:p>
            </c:rich>
          </c:tx>
          <c:layout>
            <c:manualLayout>
              <c:xMode val="factor"/>
              <c:yMode val="factor"/>
              <c:x val="-0.0175"/>
              <c:y val="-0.00275"/>
            </c:manualLayout>
          </c:layout>
          <c:overlay val="0"/>
          <c:spPr>
            <a:noFill/>
            <a:ln w="3175">
              <a:noFill/>
            </a:ln>
          </c:spPr>
        </c:title>
        <c:delete val="0"/>
        <c:numFmt formatCode="General" sourceLinked="1"/>
        <c:majorTickMark val="in"/>
        <c:minorTickMark val="none"/>
        <c:tickLblPos val="nextTo"/>
        <c:spPr>
          <a:ln w="12700">
            <a:solidFill>
              <a:srgbClr val="010000"/>
            </a:solidFill>
          </a:ln>
        </c:spPr>
        <c:txPr>
          <a:bodyPr vert="horz" rot="0"/>
          <a:lstStyle/>
          <a:p>
            <a:pPr>
              <a:defRPr lang="en-US" cap="none" sz="900" b="0" i="0" u="none" baseline="0">
                <a:solidFill>
                  <a:srgbClr val="010000"/>
                </a:solidFill>
                <a:latin typeface="Arial"/>
                <a:ea typeface="Arial"/>
                <a:cs typeface="Arial"/>
              </a:defRPr>
            </a:pPr>
          </a:p>
        </c:txPr>
        <c:crossAx val="1841857"/>
        <c:crossesAt val="1"/>
        <c:crossBetween val="between"/>
        <c:dispUnits/>
      </c:valAx>
      <c:spPr>
        <a:solidFill>
          <a:srgbClr val="FFFFFF"/>
        </a:solidFill>
        <a:ln w="12700">
          <a:solidFill>
            <a:srgbClr val="010000"/>
          </a:solidFill>
        </a:ln>
      </c:spPr>
    </c:plotArea>
    <c:legend>
      <c:legendPos val="t"/>
      <c:layout>
        <c:manualLayout>
          <c:xMode val="edge"/>
          <c:yMode val="edge"/>
          <c:x val="0.419"/>
          <c:y val="0.16425"/>
          <c:w val="0.1705"/>
          <c:h val="0.0455"/>
        </c:manualLayout>
      </c:layout>
      <c:overlay val="0"/>
      <c:spPr>
        <a:solidFill>
          <a:srgbClr val="FFFFFF"/>
        </a:solidFill>
        <a:ln w="12700">
          <a:solidFill>
            <a:srgbClr val="010000"/>
          </a:solidFill>
        </a:ln>
        <a:effectLst>
          <a:outerShdw dist="35921" dir="2700000" algn="br">
            <a:prstClr val="black"/>
          </a:outerShdw>
        </a:effectLst>
      </c:spPr>
      <c:txPr>
        <a:bodyPr vert="horz" rot="0"/>
        <a:lstStyle/>
        <a:p>
          <a:pPr>
            <a:defRPr lang="en-US" cap="none" sz="1285" b="0" i="0" u="none" baseline="0">
              <a:solidFill>
                <a:srgbClr val="010000"/>
              </a:solidFill>
              <a:latin typeface="Arial"/>
              <a:ea typeface="Arial"/>
              <a:cs typeface="Arial"/>
            </a:defRPr>
          </a:pPr>
        </a:p>
      </c:txPr>
    </c:legend>
    <c:plotVisOnly val="0"/>
    <c:dispBlanksAs val="gap"/>
    <c:showDLblsOverMax val="0"/>
  </c:chart>
  <c:spPr>
    <a:solidFill>
      <a:srgbClr val="FFFFFF"/>
    </a:solidFill>
    <a:ln w="12700">
      <a:solidFill>
        <a:srgbClr val="010000"/>
      </a:solid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2</xdr:row>
      <xdr:rowOff>19050</xdr:rowOff>
    </xdr:from>
    <xdr:to>
      <xdr:col>1</xdr:col>
      <xdr:colOff>2457450</xdr:colOff>
      <xdr:row>5</xdr:row>
      <xdr:rowOff>19050</xdr:rowOff>
    </xdr:to>
    <xdr:pic>
      <xdr:nvPicPr>
        <xdr:cNvPr id="1" name="Picture 9" descr="Ontario"/>
        <xdr:cNvPicPr preferRelativeResize="1">
          <a:picLocks noChangeAspect="1"/>
        </xdr:cNvPicPr>
      </xdr:nvPicPr>
      <xdr:blipFill>
        <a:blip r:embed="rId1"/>
        <a:srcRect t="14422" b="22116"/>
        <a:stretch>
          <a:fillRect/>
        </a:stretch>
      </xdr:blipFill>
      <xdr:spPr>
        <a:xfrm>
          <a:off x="4105275" y="476250"/>
          <a:ext cx="1733550" cy="485775"/>
        </a:xfrm>
        <a:prstGeom prst="rect">
          <a:avLst/>
        </a:prstGeom>
        <a:noFill/>
        <a:ln w="9525" cmpd="sng">
          <a:noFill/>
        </a:ln>
      </xdr:spPr>
    </xdr:pic>
    <xdr:clientData/>
  </xdr:twoCellAnchor>
  <xdr:twoCellAnchor editAs="oneCell">
    <xdr:from>
      <xdr:col>1</xdr:col>
      <xdr:colOff>19050</xdr:colOff>
      <xdr:row>9</xdr:row>
      <xdr:rowOff>9525</xdr:rowOff>
    </xdr:from>
    <xdr:to>
      <xdr:col>2</xdr:col>
      <xdr:colOff>19050</xdr:colOff>
      <xdr:row>12</xdr:row>
      <xdr:rowOff>9525</xdr:rowOff>
    </xdr:to>
    <xdr:pic>
      <xdr:nvPicPr>
        <xdr:cNvPr id="2" name="Picture 13" descr="MAAARO"/>
        <xdr:cNvPicPr preferRelativeResize="1">
          <a:picLocks noChangeAspect="1"/>
        </xdr:cNvPicPr>
      </xdr:nvPicPr>
      <xdr:blipFill>
        <a:blip r:embed="rId2"/>
        <a:stretch>
          <a:fillRect/>
        </a:stretch>
      </xdr:blipFill>
      <xdr:spPr>
        <a:xfrm>
          <a:off x="3400425" y="1600200"/>
          <a:ext cx="29337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17</xdr:row>
      <xdr:rowOff>19050</xdr:rowOff>
    </xdr:from>
    <xdr:to>
      <xdr:col>2</xdr:col>
      <xdr:colOff>866775</xdr:colOff>
      <xdr:row>17</xdr:row>
      <xdr:rowOff>200025</xdr:rowOff>
    </xdr:to>
    <xdr:sp>
      <xdr:nvSpPr>
        <xdr:cNvPr id="1" name="AutoShape 434" descr="Arrow"/>
        <xdr:cNvSpPr>
          <a:spLocks/>
        </xdr:cNvSpPr>
      </xdr:nvSpPr>
      <xdr:spPr>
        <a:xfrm>
          <a:off x="3486150" y="6238875"/>
          <a:ext cx="552450" cy="18097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05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E23" sqref="E23"/>
    </sheetView>
  </sheetViews>
  <sheetFormatPr defaultColWidth="8.8515625" defaultRowHeight="12.75"/>
  <cols>
    <col min="1" max="1" width="50.7109375" style="3" customWidth="1"/>
    <col min="2" max="2" width="44.00390625" style="3" customWidth="1"/>
    <col min="3" max="16384" width="8.8515625" style="3" customWidth="1"/>
  </cols>
  <sheetData>
    <row r="1" spans="1:7" ht="23.25">
      <c r="A1" s="441" t="s">
        <v>19</v>
      </c>
      <c r="B1" s="530"/>
      <c r="C1" s="2"/>
      <c r="D1" s="2"/>
      <c r="E1" s="2"/>
      <c r="F1" s="2"/>
      <c r="G1" s="2"/>
    </row>
    <row r="3" ht="12.75">
      <c r="A3" s="436"/>
    </row>
    <row r="4" ht="12.75">
      <c r="A4" s="434"/>
    </row>
    <row r="5" ht="12.75">
      <c r="A5" s="434"/>
    </row>
    <row r="6" ht="12.75">
      <c r="A6" s="434"/>
    </row>
    <row r="7" ht="12.75">
      <c r="A7" s="434"/>
    </row>
    <row r="8" ht="12.75">
      <c r="A8" s="434"/>
    </row>
    <row r="9" ht="12.75">
      <c r="A9" s="434"/>
    </row>
    <row r="10" ht="12.75">
      <c r="A10" s="434"/>
    </row>
    <row r="11" ht="12.75">
      <c r="A11" s="437"/>
    </row>
    <row r="12" ht="12.75">
      <c r="A12" s="434"/>
    </row>
    <row r="13" ht="12.75">
      <c r="A13" s="2"/>
    </row>
    <row r="14" spans="1:4" ht="12.75">
      <c r="A14" s="440" t="s">
        <v>20</v>
      </c>
      <c r="B14" s="435"/>
      <c r="C14" s="530"/>
      <c r="D14" s="530"/>
    </row>
    <row r="15" spans="1:4" ht="12.75" customHeight="1">
      <c r="A15" s="529" t="s">
        <v>62</v>
      </c>
      <c r="B15" s="531"/>
      <c r="C15" s="530"/>
      <c r="D15" s="530"/>
    </row>
    <row r="16" spans="1:4" ht="25.5" customHeight="1">
      <c r="A16" s="529" t="s">
        <v>63</v>
      </c>
      <c r="B16" s="531"/>
      <c r="C16" s="530"/>
      <c r="D16" s="530"/>
    </row>
    <row r="18" ht="12.75">
      <c r="A18" s="438" t="s">
        <v>15</v>
      </c>
    </row>
    <row r="19" ht="12.75">
      <c r="A19" s="439" t="s">
        <v>16</v>
      </c>
    </row>
    <row r="20" ht="12.75">
      <c r="A20" s="439" t="s">
        <v>18</v>
      </c>
    </row>
    <row r="21" ht="12.75">
      <c r="A21" s="439" t="s">
        <v>17</v>
      </c>
    </row>
    <row r="22" ht="12.75">
      <c r="A22" s="442" t="s">
        <v>190</v>
      </c>
    </row>
    <row r="23" ht="12.75">
      <c r="A23" s="204" t="s">
        <v>191</v>
      </c>
    </row>
  </sheetData>
  <sheetProtection/>
  <printOptions/>
  <pageMargins left="0.51" right="0.36"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2:K50"/>
  <sheetViews>
    <sheetView zoomScalePageLayoutView="0" workbookViewId="0" topLeftCell="A1">
      <selection activeCell="K9" sqref="K9"/>
    </sheetView>
  </sheetViews>
  <sheetFormatPr defaultColWidth="8.8515625" defaultRowHeight="12.75"/>
  <cols>
    <col min="1" max="1" width="2.421875" style="3" customWidth="1"/>
    <col min="2" max="2" width="49.7109375" style="3" customWidth="1"/>
    <col min="3" max="3" width="11.421875" style="3" customWidth="1"/>
    <col min="4" max="4" width="5.00390625" style="3" customWidth="1"/>
    <col min="5" max="5" width="1.421875" style="3" customWidth="1"/>
    <col min="6" max="6" width="9.421875" style="3" customWidth="1"/>
    <col min="7" max="8" width="8.8515625" style="3" customWidth="1"/>
    <col min="9" max="9" width="11.421875" style="3" customWidth="1"/>
    <col min="10" max="10" width="4.28125" style="3" customWidth="1"/>
    <col min="11" max="11" width="14.421875" style="3" customWidth="1"/>
    <col min="12" max="13" width="8.8515625" style="3" customWidth="1"/>
    <col min="14" max="14" width="10.57421875" style="3" bestFit="1" customWidth="1"/>
    <col min="15" max="16384" width="8.8515625" style="3" customWidth="1"/>
  </cols>
  <sheetData>
    <row r="1" ht="13.5" thickBot="1"/>
    <row r="2" spans="2:9" ht="38.25" customHeight="1">
      <c r="B2" s="532" t="s">
        <v>29</v>
      </c>
      <c r="C2" s="532"/>
      <c r="D2" s="532"/>
      <c r="E2" s="532"/>
      <c r="F2" s="532"/>
      <c r="G2" s="532"/>
      <c r="H2" s="532"/>
      <c r="I2" s="532"/>
    </row>
    <row r="3" spans="2:4" ht="12.75">
      <c r="B3" s="236" t="s">
        <v>21</v>
      </c>
      <c r="C3" s="237"/>
      <c r="D3" s="231"/>
    </row>
    <row r="4" spans="2:4" ht="13.5" thickBot="1">
      <c r="B4" s="240" t="s">
        <v>22</v>
      </c>
      <c r="C4" s="457">
        <v>100000</v>
      </c>
      <c r="D4" s="230"/>
    </row>
    <row r="5" spans="2:4" ht="12.75">
      <c r="B5" s="238" t="s">
        <v>23</v>
      </c>
      <c r="C5" s="450">
        <v>14000</v>
      </c>
      <c r="D5" s="230"/>
    </row>
    <row r="6" spans="2:4" ht="13.5" thickBot="1">
      <c r="B6" s="238" t="s">
        <v>24</v>
      </c>
      <c r="C6" s="234">
        <v>4</v>
      </c>
      <c r="D6" s="230"/>
    </row>
    <row r="7" spans="2:4" ht="13.5" thickBot="1">
      <c r="B7" s="239" t="s">
        <v>25</v>
      </c>
      <c r="C7" s="451">
        <f>C5*C6</f>
        <v>56000</v>
      </c>
      <c r="D7" s="232"/>
    </row>
    <row r="8" spans="2:4" ht="13.5" thickBot="1">
      <c r="B8" s="239" t="s">
        <v>26</v>
      </c>
      <c r="C8" s="451">
        <v>0</v>
      </c>
      <c r="D8" s="232"/>
    </row>
    <row r="9" spans="2:8" ht="13.5" thickBot="1">
      <c r="B9" s="239" t="s">
        <v>27</v>
      </c>
      <c r="C9" s="451">
        <f>C7+C8</f>
        <v>56000</v>
      </c>
      <c r="D9" s="232"/>
      <c r="E9" s="100" t="s">
        <v>5</v>
      </c>
      <c r="F9" s="484" t="s">
        <v>138</v>
      </c>
      <c r="G9" s="449"/>
      <c r="H9" s="449"/>
    </row>
    <row r="10" spans="2:8" ht="26.25" thickBot="1">
      <c r="B10" s="443" t="s">
        <v>28</v>
      </c>
      <c r="C10" s="452">
        <f>C28*C7</f>
        <v>22960</v>
      </c>
      <c r="D10" s="232"/>
      <c r="E10" s="100"/>
      <c r="F10" s="449" t="s">
        <v>139</v>
      </c>
      <c r="G10" s="449"/>
      <c r="H10" s="449"/>
    </row>
    <row r="11" spans="2:4" ht="13.5" thickBot="1">
      <c r="B11" s="444" t="s">
        <v>30</v>
      </c>
      <c r="C11" s="453">
        <f>C9-C10</f>
        <v>33040</v>
      </c>
      <c r="D11" s="232"/>
    </row>
    <row r="12" spans="2:4" ht="12.75">
      <c r="B12" s="236" t="s">
        <v>31</v>
      </c>
      <c r="C12" s="233"/>
      <c r="D12" s="232"/>
    </row>
    <row r="13" spans="2:4" ht="12.75">
      <c r="B13" s="238" t="s">
        <v>22</v>
      </c>
      <c r="C13" s="454">
        <v>100000</v>
      </c>
      <c r="D13" s="232"/>
    </row>
    <row r="14" spans="2:4" ht="12.75">
      <c r="B14" s="238" t="s">
        <v>26</v>
      </c>
      <c r="C14" s="454">
        <v>0</v>
      </c>
      <c r="D14" s="232"/>
    </row>
    <row r="15" spans="2:4" ht="13.5" thickBot="1">
      <c r="B15" s="445" t="s">
        <v>42</v>
      </c>
      <c r="C15" s="235"/>
      <c r="D15" s="232"/>
    </row>
    <row r="16" spans="2:11" ht="15.75" thickBot="1">
      <c r="B16" s="239" t="s">
        <v>32</v>
      </c>
      <c r="C16" s="247">
        <f>C13-C14</f>
        <v>100000</v>
      </c>
      <c r="D16" s="232"/>
      <c r="F16" s="205"/>
      <c r="G16" s="206"/>
      <c r="H16" s="27"/>
      <c r="I16" s="207"/>
      <c r="J16" s="208"/>
      <c r="K16" s="209"/>
    </row>
    <row r="17" spans="2:11" ht="13.5" thickBot="1">
      <c r="B17" s="239" t="s">
        <v>35</v>
      </c>
      <c r="C17" s="248">
        <v>8</v>
      </c>
      <c r="D17" s="232"/>
      <c r="F17" s="221" t="s">
        <v>43</v>
      </c>
      <c r="G17" s="224">
        <f>C29</f>
        <v>0.3</v>
      </c>
      <c r="H17" s="222"/>
      <c r="I17" s="211"/>
      <c r="J17" s="208"/>
      <c r="K17" s="196"/>
    </row>
    <row r="18" spans="2:11" ht="13.5" thickBot="1">
      <c r="B18" s="239" t="s">
        <v>34</v>
      </c>
      <c r="C18" s="248">
        <f>C6</f>
        <v>4</v>
      </c>
      <c r="D18" s="232"/>
      <c r="F18" s="223" t="s">
        <v>44</v>
      </c>
      <c r="G18" s="225"/>
      <c r="H18" s="226"/>
      <c r="I18" s="27"/>
      <c r="J18" s="208"/>
      <c r="K18" s="27"/>
    </row>
    <row r="19" spans="2:11" ht="13.5" thickBot="1">
      <c r="B19" s="239" t="s">
        <v>33</v>
      </c>
      <c r="C19" s="248">
        <v>1</v>
      </c>
      <c r="D19" s="232"/>
      <c r="F19" s="216">
        <v>0</v>
      </c>
      <c r="G19" s="227">
        <f>C13</f>
        <v>100000</v>
      </c>
      <c r="H19" s="228">
        <f>G19*0.5*G17</f>
        <v>15000</v>
      </c>
      <c r="I19" s="27"/>
      <c r="J19" s="208"/>
      <c r="K19" s="212"/>
    </row>
    <row r="20" spans="2:11" ht="13.5" thickBot="1">
      <c r="B20" s="239" t="s">
        <v>195</v>
      </c>
      <c r="C20" s="248">
        <v>1</v>
      </c>
      <c r="D20" s="232"/>
      <c r="F20" s="217">
        <v>1</v>
      </c>
      <c r="G20" s="229">
        <f aca="true" t="shared" si="0" ref="G20:G39">G19-H19</f>
        <v>85000</v>
      </c>
      <c r="H20" s="229">
        <f aca="true" t="shared" si="1" ref="H20:H39">$G$17*G20</f>
        <v>25500</v>
      </c>
      <c r="I20" s="27"/>
      <c r="J20" s="208"/>
      <c r="K20" s="212"/>
    </row>
    <row r="21" spans="2:11" ht="13.5" thickBot="1">
      <c r="B21" s="239" t="s">
        <v>36</v>
      </c>
      <c r="C21" s="248">
        <v>1</v>
      </c>
      <c r="D21" s="232"/>
      <c r="F21" s="218">
        <v>2</v>
      </c>
      <c r="G21" s="229">
        <f t="shared" si="0"/>
        <v>59500</v>
      </c>
      <c r="H21" s="229">
        <f t="shared" si="1"/>
        <v>17850</v>
      </c>
      <c r="I21" s="27"/>
      <c r="J21" s="208"/>
      <c r="K21" s="212"/>
    </row>
    <row r="22" spans="2:11" ht="13.5" thickBot="1">
      <c r="B22" s="239" t="s">
        <v>37</v>
      </c>
      <c r="C22" s="248">
        <v>1</v>
      </c>
      <c r="D22" s="232"/>
      <c r="F22" s="218">
        <v>3</v>
      </c>
      <c r="G22" s="229">
        <f t="shared" si="0"/>
        <v>41650</v>
      </c>
      <c r="H22" s="229">
        <f t="shared" si="1"/>
        <v>12495</v>
      </c>
      <c r="I22" s="27"/>
      <c r="J22" s="208"/>
      <c r="K22" s="212"/>
    </row>
    <row r="23" spans="2:11" ht="13.5" thickBot="1">
      <c r="B23" s="239" t="s">
        <v>38</v>
      </c>
      <c r="C23" s="248">
        <v>1</v>
      </c>
      <c r="D23" s="232"/>
      <c r="F23" s="218">
        <v>4</v>
      </c>
      <c r="G23" s="229">
        <f t="shared" si="0"/>
        <v>29155</v>
      </c>
      <c r="H23" s="229">
        <f t="shared" si="1"/>
        <v>8746.5</v>
      </c>
      <c r="I23" s="27"/>
      <c r="J23" s="208"/>
      <c r="K23" s="212"/>
    </row>
    <row r="24" spans="2:11" ht="13.5" thickBot="1">
      <c r="B24" s="239" t="s">
        <v>39</v>
      </c>
      <c r="C24" s="248">
        <v>1</v>
      </c>
      <c r="D24" s="232"/>
      <c r="F24" s="218">
        <v>5</v>
      </c>
      <c r="G24" s="229">
        <f t="shared" si="0"/>
        <v>20408.5</v>
      </c>
      <c r="H24" s="229">
        <f t="shared" si="1"/>
        <v>6122.55</v>
      </c>
      <c r="I24" s="27"/>
      <c r="J24" s="208"/>
      <c r="K24" s="212"/>
    </row>
    <row r="25" spans="2:11" ht="13.5" thickBot="1">
      <c r="B25" s="239" t="s">
        <v>40</v>
      </c>
      <c r="C25" s="248">
        <v>1</v>
      </c>
      <c r="D25" s="232"/>
      <c r="F25" s="218">
        <v>6</v>
      </c>
      <c r="G25" s="229">
        <f t="shared" si="0"/>
        <v>14285.95</v>
      </c>
      <c r="H25" s="229">
        <f t="shared" si="1"/>
        <v>4285.785</v>
      </c>
      <c r="I25" s="27"/>
      <c r="J25" s="208"/>
      <c r="K25" s="212"/>
    </row>
    <row r="26" spans="2:11" ht="13.5" thickBot="1">
      <c r="B26" s="444" t="s">
        <v>41</v>
      </c>
      <c r="C26" s="248">
        <v>1</v>
      </c>
      <c r="D26" s="232"/>
      <c r="F26" s="218">
        <v>7</v>
      </c>
      <c r="G26" s="229">
        <f t="shared" si="0"/>
        <v>10000.165</v>
      </c>
      <c r="H26" s="229">
        <f t="shared" si="1"/>
        <v>3000.0495</v>
      </c>
      <c r="I26" s="27"/>
      <c r="J26" s="208"/>
      <c r="K26" s="212"/>
    </row>
    <row r="27" spans="2:11" ht="13.5" thickBot="1">
      <c r="B27" s="241" t="s">
        <v>299</v>
      </c>
      <c r="C27" s="233"/>
      <c r="D27" s="232"/>
      <c r="F27" s="218">
        <v>8</v>
      </c>
      <c r="G27" s="229">
        <f t="shared" si="0"/>
        <v>7000.115500000001</v>
      </c>
      <c r="H27" s="229">
        <f t="shared" si="1"/>
        <v>2100.03465</v>
      </c>
      <c r="I27" s="27"/>
      <c r="J27" s="208"/>
      <c r="K27" s="212"/>
    </row>
    <row r="28" spans="2:11" ht="13.5" thickBot="1">
      <c r="B28" s="239" t="s">
        <v>45</v>
      </c>
      <c r="C28" s="246">
        <v>0.41</v>
      </c>
      <c r="D28" s="232"/>
      <c r="F28" s="218">
        <v>9</v>
      </c>
      <c r="G28" s="229">
        <f t="shared" si="0"/>
        <v>4900.08085</v>
      </c>
      <c r="H28" s="229">
        <f t="shared" si="1"/>
        <v>1470.024255</v>
      </c>
      <c r="I28" s="27"/>
      <c r="J28" s="208"/>
      <c r="K28" s="212"/>
    </row>
    <row r="29" spans="2:11" ht="13.5" thickBot="1">
      <c r="B29" s="242" t="s">
        <v>52</v>
      </c>
      <c r="C29" s="245">
        <v>0.3</v>
      </c>
      <c r="D29" s="232"/>
      <c r="F29" s="218">
        <v>10</v>
      </c>
      <c r="G29" s="229">
        <f t="shared" si="0"/>
        <v>3430.056595</v>
      </c>
      <c r="H29" s="229">
        <f t="shared" si="1"/>
        <v>1029.0169785</v>
      </c>
      <c r="I29" s="27"/>
      <c r="J29" s="208"/>
      <c r="K29" s="212"/>
    </row>
    <row r="30" spans="2:11" ht="13.5" thickBot="1">
      <c r="B30" s="239" t="s">
        <v>46</v>
      </c>
      <c r="C30" s="451">
        <f>VLOOKUP(C18,F19:G38,2)</f>
        <v>29155</v>
      </c>
      <c r="D30" s="232"/>
      <c r="F30" s="218">
        <v>11</v>
      </c>
      <c r="G30" s="229">
        <f t="shared" si="0"/>
        <v>2401.0396165</v>
      </c>
      <c r="H30" s="229">
        <f t="shared" si="1"/>
        <v>720.31188495</v>
      </c>
      <c r="I30" s="27"/>
      <c r="J30" s="208"/>
      <c r="K30" s="212"/>
    </row>
    <row r="31" spans="2:11" ht="13.5" thickBot="1">
      <c r="B31" s="239" t="s">
        <v>50</v>
      </c>
      <c r="C31" s="451">
        <f>C23*C28</f>
        <v>0.41</v>
      </c>
      <c r="D31" s="232"/>
      <c r="F31" s="218">
        <v>12</v>
      </c>
      <c r="G31" s="229">
        <f t="shared" si="0"/>
        <v>1680.72773155</v>
      </c>
      <c r="H31" s="229">
        <f t="shared" si="1"/>
        <v>504.218319465</v>
      </c>
      <c r="I31" s="27"/>
      <c r="J31" s="208"/>
      <c r="K31" s="212"/>
    </row>
    <row r="32" spans="2:11" ht="13.5" thickBot="1">
      <c r="B32" s="239" t="s">
        <v>51</v>
      </c>
      <c r="C32" s="451">
        <f>(C13-C30)*C28</f>
        <v>29046.449999999997</v>
      </c>
      <c r="D32" s="232"/>
      <c r="F32" s="218">
        <v>13</v>
      </c>
      <c r="G32" s="229">
        <f t="shared" si="0"/>
        <v>1176.5094120850001</v>
      </c>
      <c r="H32" s="229">
        <f t="shared" si="1"/>
        <v>352.9528236255</v>
      </c>
      <c r="I32" s="27"/>
      <c r="J32" s="208"/>
      <c r="K32" s="27"/>
    </row>
    <row r="33" spans="2:11" ht="26.25" thickBot="1">
      <c r="B33" s="443" t="s">
        <v>49</v>
      </c>
      <c r="C33" s="451">
        <f>C25-C30</f>
        <v>-29154</v>
      </c>
      <c r="D33" s="230"/>
      <c r="F33" s="218">
        <v>14</v>
      </c>
      <c r="G33" s="229">
        <f t="shared" si="0"/>
        <v>823.5565884595001</v>
      </c>
      <c r="H33" s="229">
        <f t="shared" si="1"/>
        <v>247.06697653785</v>
      </c>
      <c r="I33" s="27"/>
      <c r="J33" s="208"/>
      <c r="K33" s="213"/>
    </row>
    <row r="34" spans="2:11" ht="13.5" thickBot="1">
      <c r="B34" s="239" t="s">
        <v>48</v>
      </c>
      <c r="C34" s="451">
        <f>C28*C33</f>
        <v>-11953.14</v>
      </c>
      <c r="D34" s="230"/>
      <c r="F34" s="218">
        <v>15</v>
      </c>
      <c r="G34" s="229">
        <f t="shared" si="0"/>
        <v>576.4896119216501</v>
      </c>
      <c r="H34" s="229">
        <f t="shared" si="1"/>
        <v>172.94688357649503</v>
      </c>
      <c r="I34" s="27"/>
      <c r="J34" s="208"/>
      <c r="K34" s="214"/>
    </row>
    <row r="35" spans="2:11" ht="13.5" thickBot="1">
      <c r="B35" s="444" t="s">
        <v>47</v>
      </c>
      <c r="C35" s="455">
        <f>C26-C31-C32+C34</f>
        <v>-40999</v>
      </c>
      <c r="D35" s="230"/>
      <c r="F35" s="219">
        <v>16</v>
      </c>
      <c r="G35" s="227">
        <f t="shared" si="0"/>
        <v>403.54272834515507</v>
      </c>
      <c r="H35" s="229">
        <f t="shared" si="1"/>
        <v>121.06281850354651</v>
      </c>
      <c r="I35" s="210"/>
      <c r="J35" s="208"/>
      <c r="K35" s="215"/>
    </row>
    <row r="36" spans="4:11" ht="13.5" thickBot="1">
      <c r="D36" s="230"/>
      <c r="F36" s="220">
        <v>17</v>
      </c>
      <c r="G36" s="227">
        <f t="shared" si="0"/>
        <v>282.47990984160856</v>
      </c>
      <c r="H36" s="229">
        <f t="shared" si="1"/>
        <v>84.74397295248257</v>
      </c>
      <c r="I36" s="27"/>
      <c r="J36" s="27"/>
      <c r="K36" s="27"/>
    </row>
    <row r="37" spans="2:11" ht="13.5" thickBot="1">
      <c r="B37" s="446" t="s">
        <v>196</v>
      </c>
      <c r="C37" s="456">
        <f>ABS(C11-C35)</f>
        <v>74039</v>
      </c>
      <c r="D37" s="230"/>
      <c r="F37" s="220">
        <v>18</v>
      </c>
      <c r="G37" s="227">
        <f t="shared" si="0"/>
        <v>197.73593688912598</v>
      </c>
      <c r="H37" s="229">
        <f t="shared" si="1"/>
        <v>59.320781066737794</v>
      </c>
      <c r="I37" s="27"/>
      <c r="J37" s="27"/>
      <c r="K37" s="27"/>
    </row>
    <row r="38" spans="2:11" ht="13.5" thickBot="1">
      <c r="B38" s="243"/>
      <c r="C38" s="244"/>
      <c r="D38" s="230"/>
      <c r="F38" s="220">
        <v>19</v>
      </c>
      <c r="G38" s="227">
        <f t="shared" si="0"/>
        <v>138.4151558223882</v>
      </c>
      <c r="H38" s="229">
        <f t="shared" si="1"/>
        <v>41.52454674671645</v>
      </c>
      <c r="I38" s="27"/>
      <c r="J38" s="27"/>
      <c r="K38" s="27"/>
    </row>
    <row r="39" spans="2:11" ht="39" thickBot="1">
      <c r="B39" s="447" t="s">
        <v>53</v>
      </c>
      <c r="C39" s="456">
        <f>C22-C5</f>
        <v>-13999</v>
      </c>
      <c r="D39" s="230"/>
      <c r="F39" s="220">
        <v>20</v>
      </c>
      <c r="G39" s="227">
        <f t="shared" si="0"/>
        <v>96.89060907567173</v>
      </c>
      <c r="H39" s="229">
        <f t="shared" si="1"/>
        <v>29.067182722701517</v>
      </c>
      <c r="I39" s="27"/>
      <c r="J39" s="27"/>
      <c r="K39" s="27"/>
    </row>
    <row r="40" spans="2:4" ht="13.5" thickBot="1">
      <c r="B40" s="446" t="s">
        <v>66</v>
      </c>
      <c r="C40" s="456">
        <f>ABS(C11-C35)/C6</f>
        <v>18509.75</v>
      </c>
      <c r="D40" s="230"/>
    </row>
    <row r="41" ht="12.75">
      <c r="D41" s="230"/>
    </row>
    <row r="42" ht="12.75">
      <c r="D42" s="230"/>
    </row>
    <row r="49" ht="12.75">
      <c r="B49" s="204"/>
    </row>
    <row r="50" ht="12.75">
      <c r="B50" s="204"/>
    </row>
  </sheetData>
  <sheetProtection/>
  <printOptions/>
  <pageMargins left="0.75" right="0.75" top="1" bottom="1" header="0.5" footer="0.5"/>
  <pageSetup horizontalDpi="600" verticalDpi="600" orientation="portrait" r:id="rId4"/>
  <headerFooter alignWithMargins="0">
    <oddHeader>&amp;C&amp;A</oddHeader>
    <oddFooter>&amp;CPage &amp;P</oddFooter>
  </headerFooter>
  <legacyDrawing r:id="rId3"/>
  <oleObjects>
    <oleObject progId="Document" dvAspect="DVASPECT_ICON" shapeId="752002" r:id="rId2"/>
  </oleObjects>
</worksheet>
</file>

<file path=xl/worksheets/sheet3.xml><?xml version="1.0" encoding="utf-8"?>
<worksheet xmlns="http://schemas.openxmlformats.org/spreadsheetml/2006/main" xmlns:r="http://schemas.openxmlformats.org/officeDocument/2006/relationships">
  <dimension ref="B2:O15"/>
  <sheetViews>
    <sheetView zoomScale="85" zoomScaleNormal="85" zoomScalePageLayoutView="0" workbookViewId="0" topLeftCell="A1">
      <selection activeCell="O25" sqref="O25"/>
    </sheetView>
  </sheetViews>
  <sheetFormatPr defaultColWidth="9.140625" defaultRowHeight="12.75"/>
  <cols>
    <col min="1" max="1" width="3.57421875" style="0" customWidth="1"/>
    <col min="2" max="2" width="32.421875" style="0" customWidth="1"/>
    <col min="3" max="3" width="12.28125" style="0" customWidth="1"/>
    <col min="4" max="4" width="14.7109375" style="0" customWidth="1"/>
    <col min="5" max="5" width="13.28125" style="0" customWidth="1"/>
  </cols>
  <sheetData>
    <row r="2" spans="2:7" ht="20.25">
      <c r="B2" s="430" t="s">
        <v>54</v>
      </c>
      <c r="C2" s="431"/>
      <c r="D2" s="431"/>
      <c r="E2" s="431"/>
      <c r="F2" s="431"/>
      <c r="G2" s="431"/>
    </row>
    <row r="4" spans="2:9" ht="49.5" customHeight="1">
      <c r="B4" s="533" t="s">
        <v>197</v>
      </c>
      <c r="C4" s="533"/>
      <c r="D4" s="533"/>
      <c r="E4" s="533"/>
      <c r="F4" s="533"/>
      <c r="G4" s="533"/>
      <c r="H4" s="326"/>
      <c r="I4" s="326"/>
    </row>
    <row r="5" spans="2:5" ht="13.5" thickBot="1">
      <c r="B5" s="428"/>
      <c r="C5" s="428"/>
      <c r="D5" s="428"/>
      <c r="E5" s="429"/>
    </row>
    <row r="6" spans="2:5" ht="16.5" thickBot="1">
      <c r="B6" s="327"/>
      <c r="C6" s="328" t="s">
        <v>55</v>
      </c>
      <c r="D6" s="329" t="s">
        <v>56</v>
      </c>
      <c r="E6" s="330"/>
    </row>
    <row r="7" spans="2:4" ht="36" customHeight="1">
      <c r="B7" s="448" t="s">
        <v>194</v>
      </c>
      <c r="C7" s="432">
        <v>400</v>
      </c>
      <c r="D7" s="433">
        <v>600</v>
      </c>
    </row>
    <row r="8" spans="2:4" ht="15">
      <c r="B8" s="331" t="s">
        <v>57</v>
      </c>
      <c r="C8" s="458">
        <v>15000</v>
      </c>
      <c r="D8" s="459">
        <v>16500</v>
      </c>
    </row>
    <row r="9" spans="2:4" ht="15">
      <c r="B9" s="331" t="s">
        <v>58</v>
      </c>
      <c r="C9" s="332"/>
      <c r="D9" s="459">
        <v>0.1067</v>
      </c>
    </row>
    <row r="10" spans="2:4" ht="15">
      <c r="B10" s="331" t="s">
        <v>59</v>
      </c>
      <c r="C10" s="333"/>
      <c r="D10" s="433">
        <v>225</v>
      </c>
    </row>
    <row r="11" spans="2:4" ht="18.75" customHeight="1" thickBot="1">
      <c r="B11" s="334" t="s">
        <v>60</v>
      </c>
      <c r="C11" s="335"/>
      <c r="D11" s="336">
        <f>(MAX(C8,D8)-MIN(C8,D8))/(D9*D10)+MIN(C7,D7)</f>
        <v>462.48047485160885</v>
      </c>
    </row>
    <row r="12" ht="13.5" thickBot="1"/>
    <row r="13" spans="2:5" ht="15.75">
      <c r="B13" s="337" t="s">
        <v>61</v>
      </c>
      <c r="C13" s="338"/>
      <c r="D13" s="338"/>
      <c r="E13" s="338"/>
    </row>
    <row r="14" spans="2:15" ht="15" customHeight="1">
      <c r="B14" s="534" t="str">
        <f>CONCATENATE("Si vous pensez vous servir de l'équipement moins de "&amp;ROUND(D11,)&amp;" heures par année, le bail comportant "&amp;C7&amp;" heures est moins coûteux que celui de "&amp;ROUND(D7,0)&amp;" heures.")</f>
        <v>Si vous pensez vous servir de l'équipement moins de 462 heures par année, le bail comportant 400 heures est moins coûteux que celui de 600 heures.</v>
      </c>
      <c r="C14" s="534"/>
      <c r="D14" s="534"/>
      <c r="E14" s="534"/>
      <c r="F14" s="534"/>
      <c r="G14" s="534"/>
      <c r="H14" s="534"/>
      <c r="I14" s="534"/>
      <c r="J14" s="534"/>
      <c r="K14" s="534"/>
      <c r="L14" s="534"/>
      <c r="M14" s="534"/>
      <c r="N14" s="534"/>
      <c r="O14" s="534"/>
    </row>
    <row r="15" spans="2:15" ht="33.75" customHeight="1">
      <c r="B15" s="535"/>
      <c r="C15" s="535"/>
      <c r="D15" s="535"/>
      <c r="E15" s="535"/>
      <c r="F15" s="535"/>
      <c r="G15" s="535"/>
      <c r="H15" s="535"/>
      <c r="I15" s="535"/>
      <c r="J15" s="535"/>
      <c r="K15" s="535"/>
      <c r="L15" s="535"/>
      <c r="M15" s="535"/>
      <c r="N15" s="535"/>
      <c r="O15" s="535"/>
    </row>
  </sheetData>
  <sheetProtection/>
  <printOptions/>
  <pageMargins left="0.75" right="0.75" top="1" bottom="1" header="0.5" footer="0.5"/>
  <pageSetup horizontalDpi="600" verticalDpi="600" orientation="portrait" scale="97" r:id="rId2"/>
  <legacy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IV261"/>
  <sheetViews>
    <sheetView tabSelected="1" defaultGridColor="0" zoomScale="75" zoomScaleNormal="75" zoomScalePageLayoutView="0" colorId="22" workbookViewId="0" topLeftCell="A1">
      <selection activeCell="N12" sqref="N12"/>
    </sheetView>
  </sheetViews>
  <sheetFormatPr defaultColWidth="12.00390625" defaultRowHeight="12.75"/>
  <cols>
    <col min="1" max="1" width="3.421875" style="101" customWidth="1"/>
    <col min="2" max="2" width="44.140625" style="108" customWidth="1"/>
    <col min="3" max="12" width="14.421875" style="108" customWidth="1"/>
    <col min="13" max="13" width="12.140625" style="108" bestFit="1" customWidth="1"/>
    <col min="14" max="14" width="13.28125" style="108" bestFit="1" customWidth="1"/>
    <col min="15" max="15" width="14.140625" style="108" customWidth="1"/>
    <col min="16" max="16" width="28.421875" style="108" customWidth="1"/>
    <col min="17" max="17" width="11.28125" style="108" customWidth="1"/>
    <col min="18" max="18" width="12.140625" style="108" customWidth="1"/>
    <col min="19" max="19" width="11.28125" style="108" customWidth="1"/>
    <col min="20" max="20" width="12.00390625" style="108" customWidth="1"/>
    <col min="21" max="21" width="12.8515625" style="108" bestFit="1" customWidth="1"/>
    <col min="22" max="22" width="12.00390625" style="108" customWidth="1"/>
    <col min="23" max="23" width="9.7109375" style="108" customWidth="1"/>
    <col min="24" max="24" width="15.28125" style="108" customWidth="1"/>
    <col min="25" max="25" width="15.8515625" style="108" customWidth="1"/>
    <col min="26" max="26" width="9.7109375" style="108" customWidth="1"/>
    <col min="27" max="16384" width="12.00390625" style="108" customWidth="1"/>
  </cols>
  <sheetData>
    <row r="1" spans="1:25" ht="23.25">
      <c r="A1" s="365"/>
      <c r="B1" s="546" t="s">
        <v>137</v>
      </c>
      <c r="C1" s="546"/>
      <c r="D1" s="546"/>
      <c r="E1" s="546"/>
      <c r="F1" s="546"/>
      <c r="G1" s="546"/>
      <c r="P1" s="102"/>
      <c r="Q1" s="102"/>
      <c r="R1" s="102"/>
      <c r="S1" s="102"/>
      <c r="T1" s="102"/>
      <c r="U1" s="102"/>
      <c r="V1" s="102"/>
      <c r="W1" s="101"/>
      <c r="X1" s="101"/>
      <c r="Y1" s="101"/>
    </row>
    <row r="2" spans="1:25" ht="15.75">
      <c r="A2" s="365"/>
      <c r="B2" s="106" t="s">
        <v>193</v>
      </c>
      <c r="C2" s="106"/>
      <c r="D2" s="106"/>
      <c r="E2" s="106"/>
      <c r="F2" s="106"/>
      <c r="G2" s="106"/>
      <c r="P2" s="105"/>
      <c r="Q2" s="104"/>
      <c r="R2" s="104"/>
      <c r="S2" s="104"/>
      <c r="T2" s="104"/>
      <c r="U2" s="104"/>
      <c r="V2" s="104"/>
      <c r="W2" s="103"/>
      <c r="X2" s="103"/>
      <c r="Y2" s="103"/>
    </row>
    <row r="3" spans="1:25" ht="15.75">
      <c r="A3" s="365"/>
      <c r="B3" s="547" t="s">
        <v>167</v>
      </c>
      <c r="C3" s="547"/>
      <c r="D3" s="547"/>
      <c r="E3" s="547"/>
      <c r="F3" s="547"/>
      <c r="G3" s="547"/>
      <c r="P3" s="105"/>
      <c r="Q3" s="104"/>
      <c r="R3" s="104"/>
      <c r="S3" s="104"/>
      <c r="T3" s="104"/>
      <c r="U3" s="104"/>
      <c r="V3" s="104"/>
      <c r="W3" s="103"/>
      <c r="X3" s="103"/>
      <c r="Y3" s="103"/>
    </row>
    <row r="4" spans="1:25" ht="23.25">
      <c r="A4" s="365"/>
      <c r="B4" s="547" t="s">
        <v>192</v>
      </c>
      <c r="C4" s="548"/>
      <c r="D4" s="548"/>
      <c r="E4" s="548"/>
      <c r="F4" s="548"/>
      <c r="G4" s="548"/>
      <c r="P4" s="353"/>
      <c r="Q4" s="353"/>
      <c r="R4" s="363" t="s">
        <v>224</v>
      </c>
      <c r="S4" s="353"/>
      <c r="T4" s="353"/>
      <c r="U4" s="353"/>
      <c r="V4" s="353"/>
      <c r="W4" s="353"/>
      <c r="X4" s="353"/>
      <c r="Y4" s="190"/>
    </row>
    <row r="5" spans="2:256" ht="15">
      <c r="B5" s="281" t="s">
        <v>231</v>
      </c>
      <c r="I5" s="105"/>
      <c r="J5" s="101"/>
      <c r="K5" s="101"/>
      <c r="L5" s="101"/>
      <c r="M5" s="101"/>
      <c r="N5" s="101"/>
      <c r="O5" s="101"/>
      <c r="P5" s="353"/>
      <c r="Q5" s="353"/>
      <c r="R5" s="354" t="s">
        <v>6</v>
      </c>
      <c r="S5" s="354" t="s">
        <v>7</v>
      </c>
      <c r="T5" s="354" t="s">
        <v>8</v>
      </c>
      <c r="U5" s="354" t="s">
        <v>9</v>
      </c>
      <c r="V5" s="354" t="s">
        <v>10</v>
      </c>
      <c r="W5" s="354" t="s">
        <v>11</v>
      </c>
      <c r="X5" s="354" t="s">
        <v>225</v>
      </c>
      <c r="Y5" s="512" t="s">
        <v>226</v>
      </c>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row>
    <row r="6" spans="2:256" ht="15" customHeight="1">
      <c r="B6" s="545" t="s">
        <v>234</v>
      </c>
      <c r="C6" s="545"/>
      <c r="D6" s="545"/>
      <c r="E6" s="545"/>
      <c r="F6" s="545"/>
      <c r="G6" s="285"/>
      <c r="H6" s="150"/>
      <c r="I6" s="105"/>
      <c r="J6" s="101"/>
      <c r="K6" s="101"/>
      <c r="L6" s="101"/>
      <c r="M6" s="101"/>
      <c r="N6" s="101"/>
      <c r="O6" s="101"/>
      <c r="P6" s="355" t="s">
        <v>213</v>
      </c>
      <c r="Q6" s="353"/>
      <c r="R6" s="353">
        <v>0.95433</v>
      </c>
      <c r="S6" s="353">
        <v>-0.05939</v>
      </c>
      <c r="T6" s="353">
        <v>0.57</v>
      </c>
      <c r="U6" s="356"/>
      <c r="V6" s="353"/>
      <c r="W6" s="353">
        <v>2.78</v>
      </c>
      <c r="X6" s="357">
        <f>(R6+S6*'Bail ou achat'!$C$39^T6+U6*'Bail ou achat'!$C$40^V6)^W6</f>
        <v>0.5827271067968692</v>
      </c>
      <c r="Y6" s="358">
        <f>(R6+S6*'Bail ou achat'!$G$33^T6+U6*'Bail ou achat'!$G$36^V6)^W6</f>
        <v>0.5827271067968692</v>
      </c>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row>
    <row r="7" spans="2:256" ht="27.75" customHeight="1">
      <c r="B7" s="549" t="s">
        <v>239</v>
      </c>
      <c r="C7" s="549"/>
      <c r="D7" s="549"/>
      <c r="E7" s="549"/>
      <c r="F7" s="549"/>
      <c r="G7" s="549"/>
      <c r="H7" s="286"/>
      <c r="I7" s="105"/>
      <c r="J7" s="101"/>
      <c r="K7" s="101"/>
      <c r="L7" s="101"/>
      <c r="M7" s="101"/>
      <c r="N7" s="101"/>
      <c r="O7" s="101"/>
      <c r="P7" s="355" t="s">
        <v>214</v>
      </c>
      <c r="Q7" s="353"/>
      <c r="R7" s="359">
        <v>0.94534</v>
      </c>
      <c r="S7" s="353">
        <v>-0.0455</v>
      </c>
      <c r="T7" s="353">
        <v>0.87</v>
      </c>
      <c r="U7" s="356">
        <v>-0.00182</v>
      </c>
      <c r="V7" s="353">
        <v>0.72</v>
      </c>
      <c r="W7" s="353">
        <v>2</v>
      </c>
      <c r="X7" s="360">
        <f>(R7+S7*'Bail ou achat'!$C$39^T7+U7*'Bail ou achat'!$C$40^V7)^W7</f>
        <v>0.4015057975891617</v>
      </c>
      <c r="Y7" s="358">
        <f>(R7+S7*'Bail ou achat'!$G$33^T7+U7*'Bail ou achat'!$G$36^V7)^W7</f>
        <v>0.43210782669532205</v>
      </c>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row>
    <row r="8" spans="2:256" ht="30" customHeight="1">
      <c r="B8" s="549" t="s">
        <v>232</v>
      </c>
      <c r="C8" s="549"/>
      <c r="D8" s="549"/>
      <c r="E8" s="549"/>
      <c r="F8" s="549"/>
      <c r="G8" s="549"/>
      <c r="H8" s="150"/>
      <c r="I8" s="105"/>
      <c r="J8" s="101"/>
      <c r="K8" s="101"/>
      <c r="L8" s="101"/>
      <c r="M8" s="101"/>
      <c r="N8" s="101"/>
      <c r="O8" s="101"/>
      <c r="P8" s="355" t="s">
        <v>215</v>
      </c>
      <c r="Q8" s="353"/>
      <c r="R8" s="353">
        <v>0.45198</v>
      </c>
      <c r="S8" s="353">
        <v>0.60697</v>
      </c>
      <c r="T8" s="353">
        <v>-0.85</v>
      </c>
      <c r="U8" s="356"/>
      <c r="V8" s="353"/>
      <c r="W8" s="353">
        <v>2.04</v>
      </c>
      <c r="X8" s="360">
        <f>(R8+S8*'Bail ou achat'!$C$39^T8+U8*'Bail ou achat'!$C$40^V8)^W8</f>
        <v>0.40081148269937494</v>
      </c>
      <c r="Y8" s="358">
        <f>(R8+S8*'Bail ou achat'!$G$33^T8+U8*'Bail ou achat'!$G$36^V8)^W8</f>
        <v>0.40081148269937494</v>
      </c>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row>
    <row r="9" spans="2:256" ht="81.75" customHeight="1">
      <c r="B9" s="528" t="s">
        <v>233</v>
      </c>
      <c r="C9" s="528"/>
      <c r="D9" s="528"/>
      <c r="E9" s="528"/>
      <c r="F9" s="528"/>
      <c r="G9" s="528"/>
      <c r="H9" s="297"/>
      <c r="I9" s="339"/>
      <c r="J9" s="340"/>
      <c r="K9" s="340"/>
      <c r="L9" s="208"/>
      <c r="M9" s="101"/>
      <c r="N9" s="101"/>
      <c r="O9" s="101"/>
      <c r="P9" s="355" t="s">
        <v>216</v>
      </c>
      <c r="Q9" s="353"/>
      <c r="R9" s="353">
        <v>1.29956</v>
      </c>
      <c r="S9" s="353">
        <v>-0.45113</v>
      </c>
      <c r="T9" s="353">
        <v>0.25</v>
      </c>
      <c r="U9" s="356"/>
      <c r="V9" s="353"/>
      <c r="W9" s="353">
        <v>2.22</v>
      </c>
      <c r="X9" s="360">
        <f>(R9+S9*'Bail ou achat'!$C$39^T9+U9*'Bail ou achat'!$C$40^V9)^W9</f>
        <v>0.3996430033730536</v>
      </c>
      <c r="Y9" s="358">
        <f>(R9+S9*'Bail ou achat'!$G$33^T9+U9*'Bail ou achat'!$G$36^V9)^W9</f>
        <v>0.3996430033730536</v>
      </c>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2:256" ht="15.75" customHeight="1">
      <c r="B10" s="282" t="s">
        <v>235</v>
      </c>
      <c r="C10" s="203"/>
      <c r="D10" s="203"/>
      <c r="E10" s="203"/>
      <c r="F10" s="203"/>
      <c r="G10" s="203"/>
      <c r="H10" s="341"/>
      <c r="I10" s="342"/>
      <c r="J10" s="343"/>
      <c r="K10" s="343"/>
      <c r="L10" s="208"/>
      <c r="M10" s="101"/>
      <c r="N10" s="101"/>
      <c r="O10" s="101"/>
      <c r="P10" s="355" t="s">
        <v>217</v>
      </c>
      <c r="Q10" s="353"/>
      <c r="R10" s="353">
        <v>0.80414</v>
      </c>
      <c r="S10" s="353">
        <v>-0.01939</v>
      </c>
      <c r="T10" s="353">
        <v>0.89</v>
      </c>
      <c r="U10" s="356"/>
      <c r="V10" s="353"/>
      <c r="W10" s="353">
        <v>1.96</v>
      </c>
      <c r="X10" s="360">
        <f>(R10+S10*'Bail ou achat'!$C$39^T10+U10*'Bail ou achat'!$C$40^V10)^W10</f>
        <v>0.5506439717412853</v>
      </c>
      <c r="Y10" s="358">
        <f>(R10+S10*'Bail ou achat'!$G$33^T10+U10*'Bail ou achat'!$G$36^V10)^W10</f>
        <v>0.5506439717412853</v>
      </c>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row>
    <row r="11" spans="2:256" ht="20.25">
      <c r="B11" s="283" t="s">
        <v>236</v>
      </c>
      <c r="C11" s="284"/>
      <c r="D11" s="284"/>
      <c r="E11" s="284"/>
      <c r="F11" s="284"/>
      <c r="G11" s="284"/>
      <c r="H11" s="344"/>
      <c r="I11" s="345"/>
      <c r="J11" s="346"/>
      <c r="K11" s="346"/>
      <c r="L11" s="208"/>
      <c r="M11" s="101"/>
      <c r="N11" s="101"/>
      <c r="O11" s="101"/>
      <c r="P11" s="355" t="s">
        <v>218</v>
      </c>
      <c r="Q11" s="353"/>
      <c r="R11" s="353">
        <v>0.61135</v>
      </c>
      <c r="S11" s="353">
        <v>0.47309</v>
      </c>
      <c r="T11" s="353">
        <v>-0.95</v>
      </c>
      <c r="U11" s="356"/>
      <c r="V11" s="353"/>
      <c r="W11" s="353">
        <v>1.61</v>
      </c>
      <c r="X11" s="360">
        <f>(R11+S11*'Bail ou achat'!$C$39^T11+U11*'Bail ou achat'!$C$40^V11)^W11</f>
        <v>0.6133045838169741</v>
      </c>
      <c r="Y11" s="358">
        <f>(R11+S11*'Bail ou achat'!$G$33^T11+U11*'Bail ou achat'!$G$36^V11)^W11</f>
        <v>0.6133045838169741</v>
      </c>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row>
    <row r="12" spans="2:256" ht="108.75" customHeight="1">
      <c r="B12" s="536" t="s">
        <v>240</v>
      </c>
      <c r="C12" s="537"/>
      <c r="D12" s="537"/>
      <c r="E12" s="537"/>
      <c r="F12" s="537"/>
      <c r="G12" s="537"/>
      <c r="H12" s="344"/>
      <c r="I12" s="345"/>
      <c r="J12" s="332"/>
      <c r="K12" s="347"/>
      <c r="L12" s="208"/>
      <c r="M12" s="101"/>
      <c r="N12" s="101"/>
      <c r="O12" s="101"/>
      <c r="P12" s="355" t="s">
        <v>219</v>
      </c>
      <c r="Q12" s="353"/>
      <c r="R12" s="353">
        <v>0.88302</v>
      </c>
      <c r="S12" s="353">
        <v>-0.2549</v>
      </c>
      <c r="T12" s="353">
        <v>0.05</v>
      </c>
      <c r="U12" s="356">
        <v>-2E-05</v>
      </c>
      <c r="V12" s="353">
        <v>1.31</v>
      </c>
      <c r="W12" s="353">
        <v>1.96</v>
      </c>
      <c r="X12" s="360">
        <f>(R12+S12*'Bail ou achat'!$C$39^T12+U12*'Bail ou achat'!$C$40^V12)^W12</f>
        <v>0.3001455228746344</v>
      </c>
      <c r="Y12" s="358">
        <f>(R12+S12*'Bail ou achat'!$G$33^T12+U12*'Bail ou achat'!$G$36^V12)^W12</f>
        <v>0.31935476520237466</v>
      </c>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row>
    <row r="13" spans="2:256" ht="20.25" customHeight="1">
      <c r="B13" s="537" t="s">
        <v>241</v>
      </c>
      <c r="C13" s="537"/>
      <c r="D13" s="537"/>
      <c r="E13" s="537"/>
      <c r="F13" s="537"/>
      <c r="G13" s="537"/>
      <c r="H13" s="297"/>
      <c r="I13" s="345"/>
      <c r="J13" s="333"/>
      <c r="K13" s="343"/>
      <c r="L13" s="208"/>
      <c r="M13" s="101"/>
      <c r="N13" s="101"/>
      <c r="O13" s="101"/>
      <c r="P13" s="355" t="s">
        <v>220</v>
      </c>
      <c r="Q13" s="353"/>
      <c r="R13" s="353">
        <v>0.94154</v>
      </c>
      <c r="S13" s="353">
        <v>-0.04564</v>
      </c>
      <c r="T13" s="353">
        <v>0.5</v>
      </c>
      <c r="U13" s="356"/>
      <c r="V13" s="353"/>
      <c r="W13" s="353">
        <v>5.26</v>
      </c>
      <c r="X13" s="360">
        <f>(R13+S13*'Bail ou achat'!$C$39^T13+U13*'Bail ou achat'!$C$40^V13)^W13</f>
        <v>0.4260319762095343</v>
      </c>
      <c r="Y13" s="358">
        <f>(R13+S13*'Bail ou achat'!$G$33^T13+U13*'Bail ou achat'!$G$36^V13)^W13</f>
        <v>0.4260319762095343</v>
      </c>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2:256" ht="20.25">
      <c r="B14" s="537"/>
      <c r="C14" s="537"/>
      <c r="D14" s="537"/>
      <c r="E14" s="537"/>
      <c r="F14" s="537"/>
      <c r="G14" s="537"/>
      <c r="H14" s="297"/>
      <c r="I14" s="348"/>
      <c r="J14" s="333"/>
      <c r="K14" s="349"/>
      <c r="L14" s="208"/>
      <c r="M14" s="101"/>
      <c r="N14" s="101"/>
      <c r="O14" s="101"/>
      <c r="P14" s="355" t="s">
        <v>221</v>
      </c>
      <c r="Q14" s="353">
        <v>30</v>
      </c>
      <c r="R14" s="353">
        <v>0.8857</v>
      </c>
      <c r="S14" s="353">
        <v>-0.05827</v>
      </c>
      <c r="T14" s="353">
        <v>0.46</v>
      </c>
      <c r="U14" s="356">
        <v>-0.00018</v>
      </c>
      <c r="V14" s="353">
        <v>0.9</v>
      </c>
      <c r="W14" s="353">
        <v>2.17</v>
      </c>
      <c r="X14" s="360">
        <f>(R14+S14*'Bail ou achat'!$C$39^T14+U14*'Bail ou achat'!$C$40^V14)^W14</f>
        <v>0.5007973664953924</v>
      </c>
      <c r="Y14" s="358">
        <f>(R14+S14*'Bail ou achat'!$G$33^T14+U14*'Bail ou achat'!$G$36^V14)^W14</f>
        <v>0.5140372327742294</v>
      </c>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2:256" ht="20.25">
      <c r="B15" s="283" t="s">
        <v>268</v>
      </c>
      <c r="C15" s="189"/>
      <c r="D15" s="189"/>
      <c r="E15" s="189"/>
      <c r="F15" s="189"/>
      <c r="G15" s="189"/>
      <c r="H15" s="297"/>
      <c r="I15" s="208"/>
      <c r="J15" s="208"/>
      <c r="K15" s="208"/>
      <c r="L15" s="208"/>
      <c r="M15" s="101"/>
      <c r="N15" s="101"/>
      <c r="O15" s="101"/>
      <c r="P15" s="355" t="s">
        <v>222</v>
      </c>
      <c r="Q15" s="353">
        <v>80</v>
      </c>
      <c r="R15" s="353">
        <v>0.9769</v>
      </c>
      <c r="S15" s="353">
        <v>-0.02301</v>
      </c>
      <c r="T15" s="353">
        <v>0.76</v>
      </c>
      <c r="U15" s="356">
        <v>-0.0012</v>
      </c>
      <c r="V15" s="353">
        <v>0.6</v>
      </c>
      <c r="W15" s="353">
        <v>3.85</v>
      </c>
      <c r="X15" s="360">
        <f>(R15+S15*'Bail ou achat'!$C$39^T15+U15*'Bail ou achat'!$C$40^V15)^W15</f>
        <v>0.5619233093568334</v>
      </c>
      <c r="Y15" s="358">
        <f>(R15+S15*'Bail ou achat'!$G$33^T15+U15*'Bail ou achat'!$G$36^V15)^W15</f>
        <v>0.5778162139246837</v>
      </c>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row>
    <row r="16" spans="2:256" ht="20.25">
      <c r="B16" s="352"/>
      <c r="C16" s="150"/>
      <c r="D16" s="150"/>
      <c r="E16" s="150"/>
      <c r="F16" s="150"/>
      <c r="G16" s="150"/>
      <c r="H16" s="297"/>
      <c r="I16" s="208"/>
      <c r="J16" s="208"/>
      <c r="K16" s="208"/>
      <c r="L16" s="208"/>
      <c r="M16" s="101"/>
      <c r="N16" s="101"/>
      <c r="O16" s="101"/>
      <c r="P16" s="355" t="s">
        <v>223</v>
      </c>
      <c r="Q16" s="353">
        <v>150</v>
      </c>
      <c r="R16" s="356">
        <v>1.18985</v>
      </c>
      <c r="S16" s="353">
        <v>-0.22231</v>
      </c>
      <c r="T16" s="353">
        <v>0.35</v>
      </c>
      <c r="U16" s="356">
        <v>-0.00766</v>
      </c>
      <c r="V16" s="353">
        <v>0.39</v>
      </c>
      <c r="W16" s="353">
        <v>2.22</v>
      </c>
      <c r="X16" s="360">
        <f>(R16+S16*'Bail ou achat'!$C$39^T16+U16*'Bail ou achat'!$C$40^V16)^W16</f>
        <v>0.5159571573443229</v>
      </c>
      <c r="Y16" s="358">
        <f>(R16+S16*'Bail ou achat'!$G$33^T16+U16*'Bail ou achat'!$G$36^V16)^W16</f>
        <v>0.527143853387851</v>
      </c>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2:256" ht="16.5" thickBot="1">
      <c r="B17" s="106" t="s">
        <v>242</v>
      </c>
      <c r="C17" s="150"/>
      <c r="D17" s="150"/>
      <c r="E17" s="150"/>
      <c r="F17" s="150"/>
      <c r="G17" s="150"/>
      <c r="H17" s="297"/>
      <c r="I17" s="208"/>
      <c r="J17" s="208"/>
      <c r="K17" s="208"/>
      <c r="L17" s="208"/>
      <c r="M17" s="101"/>
      <c r="N17" s="101"/>
      <c r="O17" s="101"/>
      <c r="P17" s="190"/>
      <c r="Q17" s="190"/>
      <c r="R17" s="190"/>
      <c r="S17" s="190"/>
      <c r="T17" s="190"/>
      <c r="U17" s="190"/>
      <c r="V17" s="190"/>
      <c r="W17" s="190"/>
      <c r="X17" s="190"/>
      <c r="Y17" s="190"/>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row>
    <row r="18" spans="2:256" ht="16.5" customHeight="1" thickBot="1">
      <c r="B18" s="485" t="s">
        <v>214</v>
      </c>
      <c r="D18" s="544" t="s">
        <v>212</v>
      </c>
      <c r="E18" s="543"/>
      <c r="F18" s="543"/>
      <c r="G18" s="543"/>
      <c r="H18" s="297"/>
      <c r="I18" s="208"/>
      <c r="J18" s="208"/>
      <c r="K18" s="208"/>
      <c r="L18" s="208"/>
      <c r="M18" s="101"/>
      <c r="N18" s="101"/>
      <c r="O18" s="101"/>
      <c r="P18" s="513" t="s">
        <v>227</v>
      </c>
      <c r="Q18" s="361">
        <v>10.71</v>
      </c>
      <c r="R18" s="361">
        <v>19.13</v>
      </c>
      <c r="S18" s="361">
        <v>15.03</v>
      </c>
      <c r="T18" s="361">
        <v>12.25</v>
      </c>
      <c r="U18" s="361">
        <v>12.25</v>
      </c>
      <c r="V18" s="361">
        <v>12.25</v>
      </c>
      <c r="W18" s="361">
        <v>12.25</v>
      </c>
      <c r="X18" s="361">
        <v>6.13</v>
      </c>
      <c r="Y18" s="362"/>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3:256" ht="15">
      <c r="C19" s="364"/>
      <c r="D19" s="543"/>
      <c r="E19" s="543"/>
      <c r="F19" s="543"/>
      <c r="G19" s="543"/>
      <c r="H19" s="297"/>
      <c r="I19" s="208"/>
      <c r="J19" s="208"/>
      <c r="K19" s="208"/>
      <c r="L19" s="208"/>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row>
    <row r="20" spans="2:256" ht="15">
      <c r="B20" s="101"/>
      <c r="C20" s="107"/>
      <c r="D20" s="543"/>
      <c r="E20" s="543"/>
      <c r="F20" s="543"/>
      <c r="G20" s="543"/>
      <c r="H20" s="297"/>
      <c r="I20" s="208"/>
      <c r="J20" s="208"/>
      <c r="K20" s="208"/>
      <c r="L20" s="208"/>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row>
    <row r="21" spans="2:256" ht="15">
      <c r="B21" s="352"/>
      <c r="C21" s="150"/>
      <c r="D21" s="150"/>
      <c r="E21" s="150"/>
      <c r="F21" s="150"/>
      <c r="G21" s="150"/>
      <c r="H21" s="297"/>
      <c r="I21" s="208"/>
      <c r="J21" s="208"/>
      <c r="K21" s="208"/>
      <c r="L21" s="208"/>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1"/>
    </row>
    <row r="22" spans="2:256" ht="18" customHeight="1">
      <c r="B22" s="526" t="str">
        <f>CONCATENATE("L'analyse porte sur l'équipement suivant : "&amp;'Bail ou achat'!B18)</f>
        <v>L'analyse porte sur l'équipement suivant : tracteur de 30 à 79 cv</v>
      </c>
      <c r="C22" s="526"/>
      <c r="D22" s="526"/>
      <c r="E22" s="526"/>
      <c r="F22" s="526"/>
      <c r="G22" s="526"/>
      <c r="H22" s="297"/>
      <c r="I22" s="350"/>
      <c r="J22" s="351"/>
      <c r="K22" s="351"/>
      <c r="L22" s="351"/>
      <c r="M22" s="202"/>
      <c r="N22" s="202"/>
      <c r="O22" s="202"/>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c r="IR22" s="101"/>
      <c r="IS22" s="101"/>
      <c r="IT22" s="101"/>
      <c r="IU22" s="101"/>
      <c r="IV22" s="101"/>
    </row>
    <row r="23" spans="2:256" ht="18" customHeight="1" thickBot="1">
      <c r="B23" s="542" t="s">
        <v>173</v>
      </c>
      <c r="C23" s="542"/>
      <c r="D23" s="542"/>
      <c r="E23" s="542"/>
      <c r="F23" s="542"/>
      <c r="G23" s="542"/>
      <c r="H23" s="297"/>
      <c r="I23" s="527"/>
      <c r="J23" s="527"/>
      <c r="K23" s="527"/>
      <c r="L23" s="527"/>
      <c r="M23" s="164"/>
      <c r="N23" s="158"/>
      <c r="O23" s="194"/>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1"/>
    </row>
    <row r="24" spans="2:256" ht="21.75" thickBot="1" thickTop="1">
      <c r="B24" s="541" t="s">
        <v>31</v>
      </c>
      <c r="C24" s="540"/>
      <c r="D24" s="540"/>
      <c r="E24" s="540" t="s">
        <v>168</v>
      </c>
      <c r="F24" s="540"/>
      <c r="G24" s="540"/>
      <c r="H24" s="344"/>
      <c r="I24" s="527"/>
      <c r="J24" s="527"/>
      <c r="K24" s="527"/>
      <c r="L24" s="527"/>
      <c r="M24" s="195"/>
      <c r="N24" s="158"/>
      <c r="O24" s="196"/>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row>
    <row r="25" spans="2:256" ht="16.5" thickBot="1">
      <c r="B25" s="261" t="str">
        <f>CONCATENATE("Achat :  "&amp;'Bail ou achat'!B18)</f>
        <v>Achat :  tracteur de 30 à 79 cv</v>
      </c>
      <c r="C25" s="255"/>
      <c r="D25" s="256" t="str">
        <f>CONCATENATE("Bail : "&amp;'Bail ou achat'!B18)</f>
        <v>Bail : tracteur de 30 à 79 cv</v>
      </c>
      <c r="E25" s="255"/>
      <c r="F25" s="255"/>
      <c r="G25" s="262"/>
      <c r="J25" s="153"/>
      <c r="K25" s="157"/>
      <c r="L25" s="157"/>
      <c r="M25" s="139"/>
      <c r="N25" s="158"/>
      <c r="O25" s="137"/>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row>
    <row r="26" spans="2:256" ht="15">
      <c r="B26" s="490" t="s">
        <v>199</v>
      </c>
      <c r="C26" s="460">
        <v>100000</v>
      </c>
      <c r="D26" s="486" t="s">
        <v>198</v>
      </c>
      <c r="E26" s="257"/>
      <c r="F26" s="258"/>
      <c r="G26" s="463">
        <v>100000</v>
      </c>
      <c r="J26" s="151"/>
      <c r="K26" s="157"/>
      <c r="L26" s="157"/>
      <c r="M26" s="140"/>
      <c r="N26" s="158"/>
      <c r="O26" s="159"/>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row>
    <row r="27" spans="2:25" ht="15">
      <c r="B27" s="265" t="s">
        <v>174</v>
      </c>
      <c r="C27" s="460">
        <v>100000</v>
      </c>
      <c r="D27" s="266"/>
      <c r="E27" s="258"/>
      <c r="F27" s="258"/>
      <c r="G27" s="264"/>
      <c r="I27" s="126"/>
      <c r="J27" s="153"/>
      <c r="K27" s="157"/>
      <c r="L27" s="157"/>
      <c r="M27" s="140"/>
      <c r="N27" s="158"/>
      <c r="O27" s="138"/>
      <c r="P27" s="101"/>
      <c r="Q27" s="101"/>
      <c r="R27" s="101"/>
      <c r="S27" s="101"/>
      <c r="T27" s="101"/>
      <c r="U27" s="101"/>
      <c r="V27" s="101"/>
      <c r="W27" s="101"/>
      <c r="X27" s="101"/>
      <c r="Y27" s="101"/>
    </row>
    <row r="28" spans="2:25" ht="15">
      <c r="B28" s="273" t="s">
        <v>237</v>
      </c>
      <c r="C28" s="461">
        <f>LOOKUP('Bail ou achat'!B18,P6:X16,Y6:Y16)*C26*C29</f>
        <v>43210.78266953221</v>
      </c>
      <c r="D28" s="486" t="s">
        <v>245</v>
      </c>
      <c r="E28" s="257"/>
      <c r="F28" s="259"/>
      <c r="G28" s="463">
        <v>50000</v>
      </c>
      <c r="I28" s="126"/>
      <c r="J28" s="155"/>
      <c r="K28" s="157"/>
      <c r="L28" s="160"/>
      <c r="M28" s="141"/>
      <c r="N28" s="158"/>
      <c r="O28" s="161"/>
      <c r="P28" s="101"/>
      <c r="Q28" s="101"/>
      <c r="R28" s="101"/>
      <c r="S28" s="101"/>
      <c r="T28" s="101"/>
      <c r="U28" s="101"/>
      <c r="V28" s="101"/>
      <c r="W28" s="101"/>
      <c r="X28" s="101"/>
      <c r="Y28" s="101"/>
    </row>
    <row r="29" spans="2:15" ht="15">
      <c r="B29" s="510" t="s">
        <v>238</v>
      </c>
      <c r="C29" s="250">
        <v>1</v>
      </c>
      <c r="D29" s="486" t="s">
        <v>246</v>
      </c>
      <c r="E29" s="258"/>
      <c r="F29" s="258"/>
      <c r="G29" s="464">
        <f>LOOKUP('Bail ou achat'!B18,P6:X16,Y6:Y16)*C26</f>
        <v>43210.78266953221</v>
      </c>
      <c r="J29" s="155"/>
      <c r="K29" s="157"/>
      <c r="L29" s="157"/>
      <c r="M29" s="141"/>
      <c r="N29" s="158"/>
      <c r="O29" s="162"/>
    </row>
    <row r="30" spans="2:15" ht="15">
      <c r="B30" s="273" t="s">
        <v>104</v>
      </c>
      <c r="C30" s="460">
        <v>20000</v>
      </c>
      <c r="D30" s="486" t="s">
        <v>179</v>
      </c>
      <c r="E30" s="257"/>
      <c r="F30" s="258"/>
      <c r="G30" s="463">
        <v>0</v>
      </c>
      <c r="J30" s="163"/>
      <c r="K30" s="164"/>
      <c r="L30" s="164"/>
      <c r="M30" s="157"/>
      <c r="N30" s="158"/>
      <c r="O30" s="138"/>
    </row>
    <row r="31" spans="2:15" ht="15">
      <c r="B31" s="265" t="s">
        <v>175</v>
      </c>
      <c r="C31" s="460">
        <v>0</v>
      </c>
      <c r="D31" s="486" t="s">
        <v>180</v>
      </c>
      <c r="E31" s="258"/>
      <c r="F31" s="258"/>
      <c r="G31" s="464">
        <f>G28-G30</f>
        <v>50000</v>
      </c>
      <c r="I31" s="140"/>
      <c r="J31" s="150"/>
      <c r="K31" s="150"/>
      <c r="L31" s="150"/>
      <c r="M31" s="150"/>
      <c r="N31" s="150"/>
      <c r="O31" s="150"/>
    </row>
    <row r="32" spans="2:15" ht="15.75">
      <c r="B32" s="268" t="s">
        <v>200</v>
      </c>
      <c r="C32" s="249"/>
      <c r="D32" s="263"/>
      <c r="E32" s="258"/>
      <c r="F32" s="258"/>
      <c r="G32" s="267"/>
      <c r="I32" s="141"/>
      <c r="J32" s="150"/>
      <c r="K32" s="150"/>
      <c r="L32" s="150"/>
      <c r="M32" s="150"/>
      <c r="N32" s="150"/>
      <c r="O32" s="150"/>
    </row>
    <row r="33" spans="2:15" ht="15">
      <c r="B33" s="273" t="s">
        <v>105</v>
      </c>
      <c r="C33" s="462">
        <v>100000</v>
      </c>
      <c r="D33" s="486" t="s">
        <v>247</v>
      </c>
      <c r="E33" s="257"/>
      <c r="F33" s="258"/>
      <c r="G33" s="269">
        <v>4</v>
      </c>
      <c r="I33" s="142"/>
      <c r="J33" s="150"/>
      <c r="K33" s="150"/>
      <c r="L33" s="150"/>
      <c r="M33" s="150"/>
      <c r="N33" s="150"/>
      <c r="O33" s="150"/>
    </row>
    <row r="34" spans="2:15" ht="15">
      <c r="B34" s="270" t="s">
        <v>178</v>
      </c>
      <c r="C34" s="251">
        <v>0.08</v>
      </c>
      <c r="D34" s="486" t="s">
        <v>177</v>
      </c>
      <c r="E34" s="257"/>
      <c r="F34" s="258"/>
      <c r="G34" s="463">
        <v>14000</v>
      </c>
      <c r="I34" s="56"/>
      <c r="J34" s="150"/>
      <c r="K34" s="150"/>
      <c r="L34" s="150"/>
      <c r="M34" s="150"/>
      <c r="N34" s="150"/>
      <c r="O34" s="150"/>
    </row>
    <row r="35" spans="2:15" ht="15">
      <c r="B35" s="271" t="s">
        <v>201</v>
      </c>
      <c r="C35" s="252">
        <v>4</v>
      </c>
      <c r="D35" s="515" t="s">
        <v>248</v>
      </c>
      <c r="E35" s="257"/>
      <c r="F35" s="258"/>
      <c r="G35" s="269">
        <v>400</v>
      </c>
      <c r="I35" s="143"/>
      <c r="J35" s="150"/>
      <c r="K35" s="150"/>
      <c r="L35" s="149"/>
      <c r="M35" s="149"/>
      <c r="N35" s="149"/>
      <c r="O35" s="150"/>
    </row>
    <row r="36" spans="2:15" ht="15">
      <c r="B36" s="271" t="s">
        <v>33</v>
      </c>
      <c r="C36" s="252">
        <v>12</v>
      </c>
      <c r="D36" s="515" t="s">
        <v>249</v>
      </c>
      <c r="E36" s="257"/>
      <c r="F36" s="258"/>
      <c r="G36" s="272">
        <v>400</v>
      </c>
      <c r="I36" s="112"/>
      <c r="J36" s="150"/>
      <c r="K36" s="150"/>
      <c r="L36" s="150"/>
      <c r="M36" s="150"/>
      <c r="N36" s="150"/>
      <c r="O36" s="150"/>
    </row>
    <row r="37" spans="2:15" ht="15">
      <c r="B37" s="271" t="s">
        <v>202</v>
      </c>
      <c r="C37" s="253">
        <v>2</v>
      </c>
      <c r="D37" s="514" t="s">
        <v>250</v>
      </c>
      <c r="E37" s="257"/>
      <c r="F37" s="258"/>
      <c r="G37" s="465">
        <v>0.12</v>
      </c>
      <c r="I37" s="112"/>
      <c r="J37" s="150"/>
      <c r="K37" s="150"/>
      <c r="L37" s="150"/>
      <c r="M37" s="150"/>
      <c r="N37" s="150"/>
      <c r="O37" s="150"/>
    </row>
    <row r="38" spans="2:15" ht="16.5" customHeight="1">
      <c r="B38" s="273" t="s">
        <v>203</v>
      </c>
      <c r="C38" s="460">
        <v>0</v>
      </c>
      <c r="D38" s="486" t="s">
        <v>251</v>
      </c>
      <c r="E38" s="257"/>
      <c r="F38" s="258"/>
      <c r="G38" s="274">
        <v>200</v>
      </c>
      <c r="J38" s="192"/>
      <c r="K38" s="193"/>
      <c r="L38" s="164"/>
      <c r="M38" s="158"/>
      <c r="N38" s="194"/>
      <c r="O38" s="164"/>
    </row>
    <row r="39" spans="2:15" ht="15">
      <c r="B39" s="273" t="s">
        <v>243</v>
      </c>
      <c r="C39" s="254">
        <v>4</v>
      </c>
      <c r="D39" s="486" t="s">
        <v>252</v>
      </c>
      <c r="E39" s="257"/>
      <c r="F39" s="258"/>
      <c r="G39" s="463">
        <v>0</v>
      </c>
      <c r="J39" s="157"/>
      <c r="K39" s="164"/>
      <c r="L39" s="195"/>
      <c r="M39" s="158"/>
      <c r="N39" s="196"/>
      <c r="O39" s="197"/>
    </row>
    <row r="40" spans="2:15" ht="15">
      <c r="B40" s="273" t="s">
        <v>176</v>
      </c>
      <c r="C40" s="254">
        <v>500</v>
      </c>
      <c r="D40" s="486" t="s">
        <v>253</v>
      </c>
      <c r="E40" s="257"/>
      <c r="F40" s="258"/>
      <c r="G40" s="274" t="s">
        <v>187</v>
      </c>
      <c r="I40" s="127"/>
      <c r="J40" s="153"/>
      <c r="K40" s="157"/>
      <c r="L40" s="139"/>
      <c r="M40" s="158"/>
      <c r="N40" s="137"/>
      <c r="O40" s="198"/>
    </row>
    <row r="41" spans="2:15" ht="15.75">
      <c r="B41" s="268" t="s">
        <v>206</v>
      </c>
      <c r="C41" s="254"/>
      <c r="D41" s="515" t="s">
        <v>254</v>
      </c>
      <c r="E41" s="263"/>
      <c r="F41" s="260"/>
      <c r="G41" s="274" t="s">
        <v>187</v>
      </c>
      <c r="J41" s="151"/>
      <c r="K41" s="157"/>
      <c r="L41" s="140"/>
      <c r="M41" s="158"/>
      <c r="N41" s="159"/>
      <c r="O41" s="198"/>
    </row>
    <row r="42" spans="2:15" ht="18">
      <c r="B42" s="273" t="s">
        <v>205</v>
      </c>
      <c r="C42" s="461">
        <f>C27-C31</f>
        <v>100000</v>
      </c>
      <c r="D42" s="516" t="s">
        <v>255</v>
      </c>
      <c r="E42" s="263"/>
      <c r="F42" s="260"/>
      <c r="G42" s="274">
        <v>5</v>
      </c>
      <c r="J42" s="153"/>
      <c r="K42" s="157"/>
      <c r="L42" s="140"/>
      <c r="M42" s="158"/>
      <c r="N42" s="138"/>
      <c r="O42" s="199"/>
    </row>
    <row r="43" spans="2:15" ht="15">
      <c r="B43" s="273" t="s">
        <v>189</v>
      </c>
      <c r="C43" s="129">
        <v>0.3</v>
      </c>
      <c r="D43" s="516" t="s">
        <v>178</v>
      </c>
      <c r="E43" s="260"/>
      <c r="F43" s="260"/>
      <c r="G43" s="275">
        <v>0.08</v>
      </c>
      <c r="J43" s="155"/>
      <c r="K43" s="160"/>
      <c r="L43" s="141"/>
      <c r="M43" s="158"/>
      <c r="N43" s="161"/>
      <c r="O43" s="199"/>
    </row>
    <row r="44" spans="2:25" ht="18">
      <c r="B44" s="273" t="s">
        <v>204</v>
      </c>
      <c r="C44" s="129">
        <v>0.41</v>
      </c>
      <c r="D44" s="516" t="s">
        <v>256</v>
      </c>
      <c r="E44" s="260"/>
      <c r="F44" s="260"/>
      <c r="G44" s="463">
        <v>0</v>
      </c>
      <c r="J44" s="155"/>
      <c r="K44" s="157"/>
      <c r="L44" s="150"/>
      <c r="M44" s="158"/>
      <c r="N44" s="162"/>
      <c r="O44" s="200"/>
      <c r="P44" s="101"/>
      <c r="Q44" s="101"/>
      <c r="R44" s="101"/>
      <c r="S44" s="101"/>
      <c r="T44" s="101"/>
      <c r="U44" s="101"/>
      <c r="V44" s="101"/>
      <c r="W44" s="101"/>
      <c r="X44" s="101"/>
      <c r="Y44" s="101"/>
    </row>
    <row r="45" spans="2:25" ht="15">
      <c r="B45" s="273" t="s">
        <v>207</v>
      </c>
      <c r="C45" s="129">
        <v>0.28</v>
      </c>
      <c r="D45" s="258"/>
      <c r="E45" s="258"/>
      <c r="F45" s="258"/>
      <c r="G45" s="276"/>
      <c r="J45" s="163"/>
      <c r="K45" s="164"/>
      <c r="L45" s="157"/>
      <c r="M45" s="158"/>
      <c r="N45" s="138"/>
      <c r="O45" s="201"/>
      <c r="P45" s="101"/>
      <c r="Q45" s="101"/>
      <c r="R45" s="101"/>
      <c r="S45" s="101"/>
      <c r="T45" s="101"/>
      <c r="U45" s="101"/>
      <c r="V45" s="101"/>
      <c r="W45" s="101"/>
      <c r="X45" s="101"/>
      <c r="Y45" s="101"/>
    </row>
    <row r="46" spans="2:16" ht="15" customHeight="1">
      <c r="B46" s="273" t="s">
        <v>208</v>
      </c>
      <c r="C46" s="129">
        <v>0.06</v>
      </c>
      <c r="D46" s="258"/>
      <c r="E46" s="258"/>
      <c r="F46" s="258"/>
      <c r="G46" s="276"/>
      <c r="I46" s="114"/>
      <c r="J46" s="110"/>
      <c r="K46" s="150"/>
      <c r="L46" s="150"/>
      <c r="M46" s="150"/>
      <c r="N46" s="150"/>
      <c r="O46" s="150"/>
      <c r="P46" s="150"/>
    </row>
    <row r="47" spans="2:16" ht="15" customHeight="1" thickBot="1">
      <c r="B47" s="511" t="s">
        <v>209</v>
      </c>
      <c r="C47" s="277">
        <v>0.03</v>
      </c>
      <c r="D47" s="278"/>
      <c r="E47" s="279"/>
      <c r="F47" s="279"/>
      <c r="G47" s="280"/>
      <c r="I47" s="101"/>
      <c r="J47" s="202"/>
      <c r="K47" s="150"/>
      <c r="L47" s="150"/>
      <c r="M47" s="150"/>
      <c r="N47" s="150"/>
      <c r="O47" s="150"/>
      <c r="P47" s="150"/>
    </row>
    <row r="48" spans="1:10" ht="18.75" thickTop="1">
      <c r="A48" s="108"/>
      <c r="B48" s="116" t="s">
        <v>210</v>
      </c>
      <c r="I48" s="115"/>
      <c r="J48" s="101"/>
    </row>
    <row r="49" spans="2:10" ht="18">
      <c r="B49" s="116" t="s">
        <v>211</v>
      </c>
      <c r="I49" s="115"/>
      <c r="J49" s="101"/>
    </row>
    <row r="50" spans="4:10" ht="15">
      <c r="D50" s="128"/>
      <c r="E50" s="113"/>
      <c r="F50" s="113"/>
      <c r="G50" s="191"/>
      <c r="I50" s="115"/>
      <c r="J50" s="101"/>
    </row>
    <row r="51" spans="2:10" ht="16.5" thickBot="1">
      <c r="B51" s="489" t="s">
        <v>244</v>
      </c>
      <c r="D51" s="101"/>
      <c r="E51" s="107"/>
      <c r="F51" s="107"/>
      <c r="G51" s="107"/>
      <c r="H51" s="101"/>
      <c r="I51" s="101"/>
      <c r="J51" s="101"/>
    </row>
    <row r="52" spans="2:15" ht="16.5" thickBot="1">
      <c r="B52" s="109"/>
      <c r="C52" s="118" t="s">
        <v>169</v>
      </c>
      <c r="D52" s="118" t="s">
        <v>80</v>
      </c>
      <c r="E52" s="118" t="s">
        <v>81</v>
      </c>
      <c r="F52" s="118" t="s">
        <v>82</v>
      </c>
      <c r="G52" s="118" t="s">
        <v>83</v>
      </c>
      <c r="H52" s="118" t="s">
        <v>84</v>
      </c>
      <c r="I52" s="118" t="s">
        <v>85</v>
      </c>
      <c r="J52" s="118" t="s">
        <v>86</v>
      </c>
      <c r="K52" s="118" t="s">
        <v>87</v>
      </c>
      <c r="L52" s="118" t="s">
        <v>88</v>
      </c>
      <c r="M52" s="118" t="s">
        <v>170</v>
      </c>
      <c r="N52" s="119" t="s">
        <v>12</v>
      </c>
      <c r="O52" s="119" t="s">
        <v>171</v>
      </c>
    </row>
    <row r="53" spans="2:9" ht="15">
      <c r="B53" s="517" t="s">
        <v>257</v>
      </c>
      <c r="C53" s="508" t="str">
        <f>IF(O56&lt;0,"La valeur nette actuelle du bail est inférieure à celle de l'achat à hauteur de "&amp;P56,"Purchase has lower net present value of cash expenditures than lease by "&amp;P56)</f>
        <v>La valeur nette actuelle du bail est inférieure à celle de l'achat à hauteur de $21118</v>
      </c>
      <c r="D53" s="120"/>
      <c r="E53" s="120"/>
      <c r="F53" s="120"/>
      <c r="G53" s="120"/>
      <c r="H53" s="120"/>
      <c r="I53" s="120"/>
    </row>
    <row r="54" spans="2:15" ht="15">
      <c r="B54" s="517" t="s">
        <v>258</v>
      </c>
      <c r="C54" s="499">
        <f aca="true" t="shared" si="0" ref="C54:N54">C76</f>
        <v>-20000</v>
      </c>
      <c r="D54" s="499">
        <f t="shared" si="0"/>
        <v>-23072.24319367627</v>
      </c>
      <c r="E54" s="499">
        <f t="shared" si="0"/>
        <v>-18767.24319367627</v>
      </c>
      <c r="F54" s="499">
        <f t="shared" si="0"/>
        <v>-21903.74319367627</v>
      </c>
      <c r="G54" s="499">
        <f t="shared" si="0"/>
        <v>36000.46225056102</v>
      </c>
      <c r="H54" s="499">
        <f t="shared" si="0"/>
        <v>-5762.870894508204</v>
      </c>
      <c r="I54" s="499">
        <f t="shared" si="0"/>
        <v>0</v>
      </c>
      <c r="J54" s="499">
        <f t="shared" si="0"/>
        <v>0</v>
      </c>
      <c r="K54" s="499">
        <f t="shared" si="0"/>
        <v>0</v>
      </c>
      <c r="L54" s="499">
        <f t="shared" si="0"/>
        <v>0</v>
      </c>
      <c r="M54" s="499">
        <f t="shared" si="0"/>
        <v>0</v>
      </c>
      <c r="N54" s="499">
        <f t="shared" si="0"/>
        <v>-53505.638224976006</v>
      </c>
      <c r="O54" s="491">
        <f>NPV($C$46,D54:M54)+C54</f>
        <v>-52650.46630388124</v>
      </c>
    </row>
    <row r="55" spans="2:27" ht="15">
      <c r="B55" s="517" t="s">
        <v>259</v>
      </c>
      <c r="C55" s="499">
        <f aca="true" t="shared" si="1" ref="C55:N55">C105</f>
        <v>-14000</v>
      </c>
      <c r="D55" s="499">
        <f t="shared" si="1"/>
        <v>-8260</v>
      </c>
      <c r="E55" s="499">
        <f t="shared" si="1"/>
        <v>-8260</v>
      </c>
      <c r="F55" s="499">
        <f t="shared" si="1"/>
        <v>-8260</v>
      </c>
      <c r="G55" s="499">
        <f t="shared" si="1"/>
        <v>5740</v>
      </c>
      <c r="H55" s="499">
        <f t="shared" si="1"/>
        <v>0</v>
      </c>
      <c r="I55" s="499">
        <f t="shared" si="1"/>
        <v>0</v>
      </c>
      <c r="J55" s="499">
        <f t="shared" si="1"/>
        <v>0</v>
      </c>
      <c r="K55" s="499">
        <f t="shared" si="1"/>
        <v>0</v>
      </c>
      <c r="L55" s="499">
        <f t="shared" si="1"/>
        <v>0</v>
      </c>
      <c r="M55" s="499">
        <f t="shared" si="1"/>
        <v>0</v>
      </c>
      <c r="N55" s="499">
        <f t="shared" si="1"/>
        <v>-33040</v>
      </c>
      <c r="O55" s="491">
        <f>NPV($C$46,D55:M55)+C55</f>
        <v>-31532.461075566876</v>
      </c>
      <c r="T55" s="148"/>
      <c r="U55" s="110"/>
      <c r="V55" s="149"/>
      <c r="W55" s="150"/>
      <c r="X55" s="150"/>
      <c r="Y55" s="150"/>
      <c r="Z55" s="150"/>
      <c r="AA55" s="150"/>
    </row>
    <row r="56" spans="2:27" ht="15.75" thickBot="1">
      <c r="B56" s="518" t="s">
        <v>260</v>
      </c>
      <c r="C56" s="497">
        <f aca="true" t="shared" si="2" ref="C56:O56">C54-C55</f>
        <v>-6000</v>
      </c>
      <c r="D56" s="497">
        <f t="shared" si="2"/>
        <v>-14812.24319367627</v>
      </c>
      <c r="E56" s="497">
        <f t="shared" si="2"/>
        <v>-10507.24319367627</v>
      </c>
      <c r="F56" s="497">
        <f t="shared" si="2"/>
        <v>-13643.74319367627</v>
      </c>
      <c r="G56" s="497">
        <f t="shared" si="2"/>
        <v>30260.462250561017</v>
      </c>
      <c r="H56" s="497">
        <f t="shared" si="2"/>
        <v>-5762.870894508204</v>
      </c>
      <c r="I56" s="497">
        <f t="shared" si="2"/>
        <v>0</v>
      </c>
      <c r="J56" s="497">
        <f t="shared" si="2"/>
        <v>0</v>
      </c>
      <c r="K56" s="497">
        <f t="shared" si="2"/>
        <v>0</v>
      </c>
      <c r="L56" s="497">
        <f t="shared" si="2"/>
        <v>0</v>
      </c>
      <c r="M56" s="497">
        <f t="shared" si="2"/>
        <v>0</v>
      </c>
      <c r="N56" s="497">
        <f t="shared" si="2"/>
        <v>-20465.638224976006</v>
      </c>
      <c r="O56" s="497">
        <f t="shared" si="2"/>
        <v>-21118.005228314367</v>
      </c>
      <c r="P56" s="509" t="str">
        <f>TEXT(ABS(O56),"$0")</f>
        <v>$21118</v>
      </c>
      <c r="T56" s="151"/>
      <c r="U56" s="152"/>
      <c r="V56" s="149"/>
      <c r="W56" s="150"/>
      <c r="X56" s="150"/>
      <c r="Y56" s="150"/>
      <c r="Z56" s="150"/>
      <c r="AA56" s="150"/>
    </row>
    <row r="57" spans="2:27" ht="15">
      <c r="B57" s="107"/>
      <c r="C57" s="491"/>
      <c r="D57" s="491"/>
      <c r="E57" s="491"/>
      <c r="F57" s="491"/>
      <c r="G57" s="491"/>
      <c r="H57" s="491"/>
      <c r="I57" s="499"/>
      <c r="J57" s="499"/>
      <c r="K57" s="491"/>
      <c r="L57" s="491"/>
      <c r="M57" s="491"/>
      <c r="N57" s="499"/>
      <c r="O57" s="491"/>
      <c r="T57" s="153"/>
      <c r="U57" s="154"/>
      <c r="V57" s="149"/>
      <c r="W57" s="150"/>
      <c r="X57" s="150"/>
      <c r="Y57" s="150"/>
      <c r="Z57" s="150"/>
      <c r="AA57" s="150"/>
    </row>
    <row r="58" spans="2:27" ht="16.5" thickBot="1">
      <c r="B58" s="121" t="s">
        <v>172</v>
      </c>
      <c r="C58" s="491"/>
      <c r="D58" s="491"/>
      <c r="E58" s="500"/>
      <c r="F58" s="491"/>
      <c r="G58" s="491"/>
      <c r="H58" s="491"/>
      <c r="I58" s="491"/>
      <c r="J58" s="491"/>
      <c r="K58" s="491"/>
      <c r="L58" s="491"/>
      <c r="M58" s="491"/>
      <c r="N58" s="491"/>
      <c r="O58" s="491"/>
      <c r="T58" s="155"/>
      <c r="U58" s="156"/>
      <c r="V58" s="149"/>
      <c r="W58" s="150"/>
      <c r="X58" s="150"/>
      <c r="Y58" s="150"/>
      <c r="Z58" s="150"/>
      <c r="AA58" s="150"/>
    </row>
    <row r="59" spans="2:27" ht="15.75">
      <c r="B59" s="519" t="s">
        <v>261</v>
      </c>
      <c r="C59" s="501" t="s">
        <v>44</v>
      </c>
      <c r="D59" s="501"/>
      <c r="E59" s="501"/>
      <c r="F59" s="501"/>
      <c r="G59" s="501"/>
      <c r="H59" s="501"/>
      <c r="I59" s="501"/>
      <c r="J59" s="501"/>
      <c r="K59" s="501"/>
      <c r="L59" s="501"/>
      <c r="M59" s="501"/>
      <c r="N59" s="502"/>
      <c r="O59" s="491"/>
      <c r="T59" s="155"/>
      <c r="U59" s="141"/>
      <c r="V59" s="149"/>
      <c r="W59" s="150"/>
      <c r="X59" s="150"/>
      <c r="Y59" s="150"/>
      <c r="Z59" s="150"/>
      <c r="AA59" s="150"/>
    </row>
    <row r="60" spans="2:27" ht="16.5" thickBot="1">
      <c r="B60" s="122"/>
      <c r="C60" s="507">
        <v>1</v>
      </c>
      <c r="D60" s="507">
        <v>2</v>
      </c>
      <c r="E60" s="507">
        <v>3</v>
      </c>
      <c r="F60" s="507">
        <v>4</v>
      </c>
      <c r="G60" s="507">
        <v>5</v>
      </c>
      <c r="H60" s="507">
        <v>6</v>
      </c>
      <c r="I60" s="507">
        <v>7</v>
      </c>
      <c r="J60" s="507">
        <v>8</v>
      </c>
      <c r="K60" s="507">
        <v>9</v>
      </c>
      <c r="L60" s="507">
        <v>10</v>
      </c>
      <c r="M60" s="507">
        <v>11</v>
      </c>
      <c r="N60" s="503" t="s">
        <v>12</v>
      </c>
      <c r="O60" s="500"/>
      <c r="T60" s="150"/>
      <c r="U60" s="150"/>
      <c r="V60" s="150"/>
      <c r="W60" s="150"/>
      <c r="X60" s="150"/>
      <c r="Y60" s="150"/>
      <c r="Z60" s="150"/>
      <c r="AA60" s="150"/>
    </row>
    <row r="61" spans="2:27" ht="15">
      <c r="B61" s="136" t="s">
        <v>262</v>
      </c>
      <c r="C61" s="491"/>
      <c r="D61" s="491"/>
      <c r="E61" s="491"/>
      <c r="F61" s="491"/>
      <c r="G61" s="491"/>
      <c r="H61" s="491"/>
      <c r="I61" s="491"/>
      <c r="J61" s="491"/>
      <c r="K61" s="491"/>
      <c r="L61" s="491"/>
      <c r="M61" s="491"/>
      <c r="N61" s="492"/>
      <c r="O61" s="500"/>
      <c r="T61" s="153"/>
      <c r="U61" s="157"/>
      <c r="V61" s="157"/>
      <c r="W61" s="139"/>
      <c r="X61" s="158"/>
      <c r="Y61" s="137"/>
      <c r="Z61" s="150"/>
      <c r="AA61" s="150"/>
    </row>
    <row r="62" spans="2:27" ht="15">
      <c r="B62" s="136" t="s">
        <v>263</v>
      </c>
      <c r="C62" s="491">
        <f>C31+C30+C38</f>
        <v>20000</v>
      </c>
      <c r="D62" s="504">
        <f aca="true" t="shared" si="3" ref="D62:M62">(IF(D60&lt;=$C$35+1,IF(D60&lt;=$C$39+1,IF(AND(AND(AND(AND($C$35&gt;=1,$C$36&gt;=1),$C$37&gt;=1),$C$33&gt;=0),$C$34&gt;=0),IF($C$34=0,$C$33/$C$35/$C$36,((1+($C$34/($C$37)))^($C$37/$C$36)-1)/(1-((1/(1+((1+($C$34/($C$37)))^($C$37/$C$36)-1))^($C$36*$C$35))))*$C$33),#VALUE!))))*$C$36</f>
        <v>29222.24319367627</v>
      </c>
      <c r="E62" s="504">
        <f t="shared" si="3"/>
        <v>29222.24319367627</v>
      </c>
      <c r="F62" s="504">
        <f t="shared" si="3"/>
        <v>29222.24319367627</v>
      </c>
      <c r="G62" s="504">
        <f t="shared" si="3"/>
        <v>29222.24319367627</v>
      </c>
      <c r="H62" s="504">
        <f t="shared" si="3"/>
        <v>0</v>
      </c>
      <c r="I62" s="504">
        <f t="shared" si="3"/>
        <v>0</v>
      </c>
      <c r="J62" s="504">
        <f t="shared" si="3"/>
        <v>0</v>
      </c>
      <c r="K62" s="504">
        <f t="shared" si="3"/>
        <v>0</v>
      </c>
      <c r="L62" s="504">
        <f t="shared" si="3"/>
        <v>0</v>
      </c>
      <c r="M62" s="504">
        <f t="shared" si="3"/>
        <v>0</v>
      </c>
      <c r="N62" s="492">
        <f aca="true" t="shared" si="4" ref="N62:N68">SUM(C62:M62)</f>
        <v>136888.9727747051</v>
      </c>
      <c r="O62" s="500"/>
      <c r="T62" s="151"/>
      <c r="U62" s="157"/>
      <c r="V62" s="157"/>
      <c r="W62" s="140"/>
      <c r="X62" s="158"/>
      <c r="Y62" s="159"/>
      <c r="Z62" s="150"/>
      <c r="AA62" s="150"/>
    </row>
    <row r="63" spans="2:27" ht="15">
      <c r="B63" s="136" t="s">
        <v>181</v>
      </c>
      <c r="C63" s="491"/>
      <c r="D63" s="491">
        <f aca="true" t="shared" si="5" ref="D63:M63">(IF(D62&gt;0,VLOOKUP((C60*$C$36),$Z$109:$AC$507,3)-VLOOKUP((C60*$C$36-($C$36-1))-1,$Z$109:$AC$507,3),0))</f>
        <v>0</v>
      </c>
      <c r="E63" s="491">
        <f t="shared" si="5"/>
        <v>0</v>
      </c>
      <c r="F63" s="491">
        <f t="shared" si="5"/>
        <v>0</v>
      </c>
      <c r="G63" s="491">
        <f t="shared" si="5"/>
        <v>0</v>
      </c>
      <c r="H63" s="491">
        <f t="shared" si="5"/>
        <v>0</v>
      </c>
      <c r="I63" s="491">
        <f t="shared" si="5"/>
        <v>0</v>
      </c>
      <c r="J63" s="491">
        <f t="shared" si="5"/>
        <v>0</v>
      </c>
      <c r="K63" s="491">
        <f t="shared" si="5"/>
        <v>0</v>
      </c>
      <c r="L63" s="491">
        <f t="shared" si="5"/>
        <v>0</v>
      </c>
      <c r="M63" s="491">
        <f t="shared" si="5"/>
        <v>0</v>
      </c>
      <c r="N63" s="492">
        <f t="shared" si="4"/>
        <v>0</v>
      </c>
      <c r="O63" s="500"/>
      <c r="T63" s="153"/>
      <c r="U63" s="157"/>
      <c r="V63" s="157"/>
      <c r="W63" s="140"/>
      <c r="X63" s="158"/>
      <c r="Y63" s="138"/>
      <c r="Z63" s="150"/>
      <c r="AA63" s="150"/>
    </row>
    <row r="64" spans="2:27" ht="15">
      <c r="B64" s="136" t="s">
        <v>264</v>
      </c>
      <c r="C64" s="491"/>
      <c r="D64" s="491">
        <f>D62-D63</f>
        <v>29222.24319367627</v>
      </c>
      <c r="E64" s="491">
        <f aca="true" t="shared" si="6" ref="E64:M64">E62-E63</f>
        <v>29222.24319367627</v>
      </c>
      <c r="F64" s="491">
        <f t="shared" si="6"/>
        <v>29222.24319367627</v>
      </c>
      <c r="G64" s="491">
        <f t="shared" si="6"/>
        <v>29222.24319367627</v>
      </c>
      <c r="H64" s="491">
        <f t="shared" si="6"/>
        <v>0</v>
      </c>
      <c r="I64" s="491">
        <f t="shared" si="6"/>
        <v>0</v>
      </c>
      <c r="J64" s="491">
        <f t="shared" si="6"/>
        <v>0</v>
      </c>
      <c r="K64" s="491">
        <f t="shared" si="6"/>
        <v>0</v>
      </c>
      <c r="L64" s="491">
        <f t="shared" si="6"/>
        <v>0</v>
      </c>
      <c r="M64" s="491">
        <f t="shared" si="6"/>
        <v>0</v>
      </c>
      <c r="N64" s="492">
        <f t="shared" si="4"/>
        <v>116888.97277470508</v>
      </c>
      <c r="O64" s="500"/>
      <c r="T64" s="155"/>
      <c r="U64" s="157"/>
      <c r="V64" s="160"/>
      <c r="W64" s="141"/>
      <c r="X64" s="158"/>
      <c r="Y64" s="161"/>
      <c r="Z64" s="150"/>
      <c r="AA64" s="150"/>
    </row>
    <row r="65" spans="2:27" ht="15">
      <c r="B65" s="520" t="s">
        <v>265</v>
      </c>
      <c r="C65" s="491" t="b">
        <f>IF(C60=$C$39+1,$C$33-SUM($C64:C$64))</f>
        <v>0</v>
      </c>
      <c r="D65" s="491" t="b">
        <f>IF(D60=$C$39+1,$C$33-SUM($C64:D$64))</f>
        <v>0</v>
      </c>
      <c r="E65" s="491" t="b">
        <f>IF(E60=$C$39+1,$C$33-SUM($C64:E$64))</f>
        <v>0</v>
      </c>
      <c r="F65" s="491" t="b">
        <f>IF(F60=$C$39+1,$C$33-SUM($C64:F$64))</f>
        <v>0</v>
      </c>
      <c r="G65" s="491">
        <f>IF(G60=$C$39+1,$C$33-SUM($C64:G$64))</f>
        <v>-16888.97277470508</v>
      </c>
      <c r="H65" s="491" t="b">
        <f>IF(H60=$C$39,$C$33-SUM($C64:H$64))</f>
        <v>0</v>
      </c>
      <c r="I65" s="491" t="b">
        <f>IF(I60=$C$39,$C$33-SUM($C64:I$64))</f>
        <v>0</v>
      </c>
      <c r="J65" s="491" t="b">
        <f>IF(J60=$C$39,$C$33-SUM($C64:J$64))</f>
        <v>0</v>
      </c>
      <c r="K65" s="491" t="b">
        <f>IF(K60=$C$39,$C$33-SUM($C64:K$64))</f>
        <v>0</v>
      </c>
      <c r="L65" s="491" t="b">
        <f>IF(L60=$C$39,$C$33-SUM($C64:L$64))</f>
        <v>0</v>
      </c>
      <c r="M65" s="491" t="b">
        <f>IF(M60=$C$39,$C$33-SUM($C64:M$64))</f>
        <v>0</v>
      </c>
      <c r="N65" s="492">
        <f t="shared" si="4"/>
        <v>-16888.97277470508</v>
      </c>
      <c r="O65" s="500"/>
      <c r="T65" s="155"/>
      <c r="U65" s="157"/>
      <c r="V65" s="157"/>
      <c r="W65" s="141"/>
      <c r="X65" s="158"/>
      <c r="Y65" s="162"/>
      <c r="Z65" s="150"/>
      <c r="AA65" s="150"/>
    </row>
    <row r="66" spans="2:27" ht="15">
      <c r="B66" s="520" t="s">
        <v>266</v>
      </c>
      <c r="C66" s="505"/>
      <c r="D66" s="491">
        <f aca="true" t="shared" si="7" ref="D66:M66">IF(C70&gt;$C$42,($C$42-C70)*$C$45,0)</f>
        <v>0</v>
      </c>
      <c r="E66" s="491">
        <f t="shared" si="7"/>
        <v>0</v>
      </c>
      <c r="F66" s="491">
        <f t="shared" si="7"/>
        <v>0</v>
      </c>
      <c r="G66" s="491">
        <f t="shared" si="7"/>
        <v>0</v>
      </c>
      <c r="H66" s="491">
        <f t="shared" si="7"/>
        <v>0</v>
      </c>
      <c r="I66" s="491">
        <f t="shared" si="7"/>
        <v>0</v>
      </c>
      <c r="J66" s="491">
        <f t="shared" si="7"/>
        <v>0</v>
      </c>
      <c r="K66" s="491">
        <f t="shared" si="7"/>
        <v>0</v>
      </c>
      <c r="L66" s="491">
        <f t="shared" si="7"/>
        <v>0</v>
      </c>
      <c r="M66" s="491">
        <f t="shared" si="7"/>
        <v>0</v>
      </c>
      <c r="N66" s="492">
        <f t="shared" si="4"/>
        <v>0</v>
      </c>
      <c r="O66" s="500"/>
      <c r="R66" s="130"/>
      <c r="T66" s="163"/>
      <c r="U66" s="164"/>
      <c r="V66" s="164"/>
      <c r="W66" s="164"/>
      <c r="X66" s="158"/>
      <c r="Y66" s="165"/>
      <c r="Z66" s="150"/>
      <c r="AA66" s="150"/>
    </row>
    <row r="67" spans="2:27" ht="15">
      <c r="B67" s="521" t="s">
        <v>267</v>
      </c>
      <c r="C67" s="491"/>
      <c r="D67" s="491" t="b">
        <f aca="true" t="shared" si="8" ref="D67:M67">IF(C70&gt;$C$42-$N$72,(C70-$C$42+$N$72)*$C$44)</f>
        <v>0</v>
      </c>
      <c r="E67" s="491" t="b">
        <f t="shared" si="8"/>
        <v>0</v>
      </c>
      <c r="F67" s="491" t="b">
        <f t="shared" si="8"/>
        <v>0</v>
      </c>
      <c r="G67" s="491" t="b">
        <f t="shared" si="8"/>
        <v>0</v>
      </c>
      <c r="H67" s="491">
        <f t="shared" si="8"/>
        <v>5762.870894508204</v>
      </c>
      <c r="I67" s="491" t="b">
        <f t="shared" si="8"/>
        <v>0</v>
      </c>
      <c r="J67" s="491" t="b">
        <f t="shared" si="8"/>
        <v>0</v>
      </c>
      <c r="K67" s="491" t="b">
        <f t="shared" si="8"/>
        <v>0</v>
      </c>
      <c r="L67" s="491" t="b">
        <f t="shared" si="8"/>
        <v>0</v>
      </c>
      <c r="M67" s="491" t="b">
        <f t="shared" si="8"/>
        <v>0</v>
      </c>
      <c r="N67" s="492">
        <f t="shared" si="4"/>
        <v>5762.870894508204</v>
      </c>
      <c r="O67" s="491"/>
      <c r="T67" s="166"/>
      <c r="U67" s="167"/>
      <c r="V67" s="168"/>
      <c r="W67" s="168"/>
      <c r="X67" s="169"/>
      <c r="Y67" s="170"/>
      <c r="Z67" s="150"/>
      <c r="AA67" s="150"/>
    </row>
    <row r="68" spans="2:27" ht="15.75" thickBot="1">
      <c r="B68" s="136" t="s">
        <v>269</v>
      </c>
      <c r="C68" s="491">
        <f aca="true" t="shared" si="9" ref="C68:M68">C62+SUM(C65:C67)</f>
        <v>20000</v>
      </c>
      <c r="D68" s="491">
        <f t="shared" si="9"/>
        <v>29222.24319367627</v>
      </c>
      <c r="E68" s="491">
        <f t="shared" si="9"/>
        <v>29222.24319367627</v>
      </c>
      <c r="F68" s="491">
        <f t="shared" si="9"/>
        <v>29222.24319367627</v>
      </c>
      <c r="G68" s="491">
        <f t="shared" si="9"/>
        <v>12333.270418971191</v>
      </c>
      <c r="H68" s="491">
        <f t="shared" si="9"/>
        <v>5762.870894508204</v>
      </c>
      <c r="I68" s="491">
        <f t="shared" si="9"/>
        <v>0</v>
      </c>
      <c r="J68" s="491">
        <f t="shared" si="9"/>
        <v>0</v>
      </c>
      <c r="K68" s="491">
        <f t="shared" si="9"/>
        <v>0</v>
      </c>
      <c r="L68" s="491">
        <f t="shared" si="9"/>
        <v>0</v>
      </c>
      <c r="M68" s="491">
        <f t="shared" si="9"/>
        <v>0</v>
      </c>
      <c r="N68" s="492">
        <f t="shared" si="4"/>
        <v>125762.87089450822</v>
      </c>
      <c r="O68" s="500"/>
      <c r="P68" s="131" t="s">
        <v>228</v>
      </c>
      <c r="Q68" s="132"/>
      <c r="R68" s="133">
        <v>0.3</v>
      </c>
      <c r="T68" s="171"/>
      <c r="U68" s="172"/>
      <c r="V68" s="173"/>
      <c r="W68" s="174"/>
      <c r="X68" s="174"/>
      <c r="Y68" s="172"/>
      <c r="Z68" s="150"/>
      <c r="AA68" s="150"/>
    </row>
    <row r="69" spans="2:27" ht="15">
      <c r="B69" s="522" t="s">
        <v>270</v>
      </c>
      <c r="C69" s="506" t="s">
        <v>271</v>
      </c>
      <c r="D69" s="493"/>
      <c r="E69" s="493"/>
      <c r="F69" s="493"/>
      <c r="G69" s="493"/>
      <c r="H69" s="493"/>
      <c r="I69" s="493"/>
      <c r="J69" s="493"/>
      <c r="K69" s="493"/>
      <c r="L69" s="493"/>
      <c r="M69" s="493"/>
      <c r="N69" s="494"/>
      <c r="O69" s="500"/>
      <c r="P69" s="131" t="s">
        <v>229</v>
      </c>
      <c r="Q69" s="134">
        <f>C42</f>
        <v>100000</v>
      </c>
      <c r="R69" s="134">
        <f>Q69*0.5*R68</f>
        <v>15000</v>
      </c>
      <c r="T69" s="175"/>
      <c r="U69" s="176"/>
      <c r="V69" s="176"/>
      <c r="W69" s="177"/>
      <c r="X69" s="177"/>
      <c r="Y69" s="176"/>
      <c r="Z69" s="150"/>
      <c r="AA69" s="150"/>
    </row>
    <row r="70" spans="2:27" ht="15">
      <c r="B70" s="136" t="s">
        <v>182</v>
      </c>
      <c r="C70" s="491"/>
      <c r="D70" s="491">
        <f aca="true" t="shared" si="10" ref="D70:M70">IF(D60=$C$39+1,$C$28,0)</f>
        <v>0</v>
      </c>
      <c r="E70" s="491">
        <f t="shared" si="10"/>
        <v>0</v>
      </c>
      <c r="F70" s="491">
        <f t="shared" si="10"/>
        <v>0</v>
      </c>
      <c r="G70" s="491">
        <f t="shared" si="10"/>
        <v>43210.78266953221</v>
      </c>
      <c r="H70" s="491">
        <f t="shared" si="10"/>
        <v>0</v>
      </c>
      <c r="I70" s="491">
        <f t="shared" si="10"/>
        <v>0</v>
      </c>
      <c r="J70" s="491">
        <f t="shared" si="10"/>
        <v>0</v>
      </c>
      <c r="K70" s="491">
        <f t="shared" si="10"/>
        <v>0</v>
      </c>
      <c r="L70" s="491">
        <f t="shared" si="10"/>
        <v>0</v>
      </c>
      <c r="M70" s="491">
        <f t="shared" si="10"/>
        <v>0</v>
      </c>
      <c r="N70" s="492">
        <f aca="true" t="shared" si="11" ref="N70:N75">SUM(C70:M70)</f>
        <v>43210.78266953221</v>
      </c>
      <c r="O70" s="500"/>
      <c r="P70" s="132"/>
      <c r="Q70" s="134">
        <f>Q69-R69</f>
        <v>85000</v>
      </c>
      <c r="R70" s="134">
        <f aca="true" t="shared" si="12" ref="R70:R84">$R$68*Q70</f>
        <v>25500</v>
      </c>
      <c r="T70" s="178"/>
      <c r="U70" s="179"/>
      <c r="V70" s="180"/>
      <c r="W70" s="181"/>
      <c r="X70" s="182"/>
      <c r="Y70" s="181"/>
      <c r="Z70" s="150"/>
      <c r="AA70" s="150"/>
    </row>
    <row r="71" spans="2:27" ht="15">
      <c r="B71" s="136" t="s">
        <v>272</v>
      </c>
      <c r="C71" s="491"/>
      <c r="D71" s="491">
        <f aca="true" t="shared" si="13" ref="D71:M71">SUM(D72:D74)*$C$44</f>
        <v>6150</v>
      </c>
      <c r="E71" s="491">
        <f t="shared" si="13"/>
        <v>10455</v>
      </c>
      <c r="F71" s="491">
        <f t="shared" si="13"/>
        <v>7318.5</v>
      </c>
      <c r="G71" s="491">
        <f t="shared" si="13"/>
        <v>5122.95</v>
      </c>
      <c r="H71" s="491">
        <f t="shared" si="13"/>
        <v>0</v>
      </c>
      <c r="I71" s="491">
        <f t="shared" si="13"/>
        <v>0</v>
      </c>
      <c r="J71" s="491">
        <f t="shared" si="13"/>
        <v>0</v>
      </c>
      <c r="K71" s="491">
        <f t="shared" si="13"/>
        <v>0</v>
      </c>
      <c r="L71" s="491">
        <f t="shared" si="13"/>
        <v>0</v>
      </c>
      <c r="M71" s="491">
        <f t="shared" si="13"/>
        <v>0</v>
      </c>
      <c r="N71" s="492">
        <f t="shared" si="11"/>
        <v>29046.45</v>
      </c>
      <c r="O71" s="491"/>
      <c r="P71" s="132"/>
      <c r="Q71" s="134">
        <f aca="true" t="shared" si="14" ref="Q71:Q84">Q70-R70</f>
        <v>59500</v>
      </c>
      <c r="R71" s="134">
        <f t="shared" si="12"/>
        <v>17850</v>
      </c>
      <c r="T71" s="183"/>
      <c r="U71" s="184"/>
      <c r="V71" s="185"/>
      <c r="W71" s="184"/>
      <c r="X71" s="184"/>
      <c r="Y71" s="186"/>
      <c r="Z71" s="150"/>
      <c r="AA71" s="150"/>
    </row>
    <row r="72" spans="2:27" ht="15">
      <c r="B72" s="136" t="s">
        <v>295</v>
      </c>
      <c r="C72" s="491"/>
      <c r="D72" s="491">
        <f>IF(C60&lt;=$C$39,$C$42*0.5*CCA,0)</f>
        <v>15000</v>
      </c>
      <c r="E72" s="491">
        <f>IF(D60&lt;=$C$39,($C$42-D72)*CCA,0)</f>
        <v>25500</v>
      </c>
      <c r="F72" s="491">
        <f>IF(E60&lt;=$C$39,($C$42-SUM(D72:E72))*CCA,0)</f>
        <v>17850</v>
      </c>
      <c r="G72" s="491">
        <f>IF(F60&lt;=$C$39,($C$42-SUM($D$72:F72))*CCA,0)</f>
        <v>12495</v>
      </c>
      <c r="H72" s="491">
        <f>IF(G60&lt;=$C$39,($C$42-SUM($D$72:G72))*CCA,0)</f>
        <v>0</v>
      </c>
      <c r="I72" s="491">
        <f>IF(H60&lt;=$C$39,($C$42-SUM($D$72:H72))*CCA,0)</f>
        <v>0</v>
      </c>
      <c r="J72" s="491">
        <f>IF(I60&lt;=$C$39,($C$42-SUM($D$72:I72))*CCA,0)</f>
        <v>0</v>
      </c>
      <c r="K72" s="491">
        <f>IF(J60&lt;=$C$39,($C$42-SUM($D$72:J72))*CCA,0)</f>
        <v>0</v>
      </c>
      <c r="L72" s="491">
        <f>IF(K60&lt;=$C$39,($C$42-SUM($D$72:K72))*CCA,0)</f>
        <v>0</v>
      </c>
      <c r="M72" s="491">
        <f>IF(L60&lt;=$C$39,($C$42-SUM($D$72:L72))*CCA,0)</f>
        <v>0</v>
      </c>
      <c r="N72" s="492">
        <f t="shared" si="11"/>
        <v>70845</v>
      </c>
      <c r="O72" s="491"/>
      <c r="P72" s="132"/>
      <c r="Q72" s="134">
        <f t="shared" si="14"/>
        <v>41650</v>
      </c>
      <c r="R72" s="134">
        <f t="shared" si="12"/>
        <v>12495</v>
      </c>
      <c r="T72" s="183"/>
      <c r="U72" s="184"/>
      <c r="V72" s="185"/>
      <c r="W72" s="184"/>
      <c r="X72" s="184"/>
      <c r="Y72" s="186"/>
      <c r="Z72" s="150"/>
      <c r="AA72" s="150"/>
    </row>
    <row r="73" spans="2:27" ht="15">
      <c r="B73" s="136" t="s">
        <v>181</v>
      </c>
      <c r="C73" s="491"/>
      <c r="D73" s="491">
        <f>C63</f>
        <v>0</v>
      </c>
      <c r="E73" s="491">
        <f>D63</f>
        <v>0</v>
      </c>
      <c r="F73" s="491">
        <f aca="true" t="shared" si="15" ref="F73:M73">E63</f>
        <v>0</v>
      </c>
      <c r="G73" s="491">
        <f t="shared" si="15"/>
        <v>0</v>
      </c>
      <c r="H73" s="491">
        <f t="shared" si="15"/>
        <v>0</v>
      </c>
      <c r="I73" s="491">
        <f t="shared" si="15"/>
        <v>0</v>
      </c>
      <c r="J73" s="491">
        <f t="shared" si="15"/>
        <v>0</v>
      </c>
      <c r="K73" s="491">
        <f t="shared" si="15"/>
        <v>0</v>
      </c>
      <c r="L73" s="491">
        <f t="shared" si="15"/>
        <v>0</v>
      </c>
      <c r="M73" s="491">
        <f t="shared" si="15"/>
        <v>0</v>
      </c>
      <c r="N73" s="492">
        <f t="shared" si="11"/>
        <v>0</v>
      </c>
      <c r="O73" s="491"/>
      <c r="P73" s="132"/>
      <c r="Q73" s="134">
        <f t="shared" si="14"/>
        <v>29155</v>
      </c>
      <c r="R73" s="134">
        <f t="shared" si="12"/>
        <v>8746.5</v>
      </c>
      <c r="T73" s="183"/>
      <c r="U73" s="184"/>
      <c r="V73" s="185"/>
      <c r="W73" s="184"/>
      <c r="X73" s="184"/>
      <c r="Y73" s="186"/>
      <c r="Z73" s="150"/>
      <c r="AA73" s="150"/>
    </row>
    <row r="74" spans="2:27" ht="15">
      <c r="B74" s="136" t="s">
        <v>273</v>
      </c>
      <c r="C74" s="491"/>
      <c r="D74" s="491">
        <f aca="true" t="shared" si="16" ref="D74:M74">IF(AND(C70&gt;0,C70&lt;$C$42-$N$72),-C70+($C$42-$N$72),0)</f>
        <v>0</v>
      </c>
      <c r="E74" s="491">
        <f t="shared" si="16"/>
        <v>0</v>
      </c>
      <c r="F74" s="491">
        <f t="shared" si="16"/>
        <v>0</v>
      </c>
      <c r="G74" s="491">
        <f t="shared" si="16"/>
        <v>0</v>
      </c>
      <c r="H74" s="491">
        <f t="shared" si="16"/>
        <v>0</v>
      </c>
      <c r="I74" s="491">
        <f t="shared" si="16"/>
        <v>0</v>
      </c>
      <c r="J74" s="491">
        <f t="shared" si="16"/>
        <v>0</v>
      </c>
      <c r="K74" s="491">
        <f t="shared" si="16"/>
        <v>0</v>
      </c>
      <c r="L74" s="491">
        <f t="shared" si="16"/>
        <v>0</v>
      </c>
      <c r="M74" s="491">
        <f t="shared" si="16"/>
        <v>0</v>
      </c>
      <c r="N74" s="492">
        <f t="shared" si="11"/>
        <v>0</v>
      </c>
      <c r="O74" s="491"/>
      <c r="P74" s="132"/>
      <c r="Q74" s="134">
        <f t="shared" si="14"/>
        <v>20408.5</v>
      </c>
      <c r="R74" s="134">
        <f t="shared" si="12"/>
        <v>6122.55</v>
      </c>
      <c r="T74" s="187"/>
      <c r="U74" s="188"/>
      <c r="V74" s="185"/>
      <c r="W74" s="188"/>
      <c r="X74" s="184"/>
      <c r="Y74" s="186"/>
      <c r="Z74" s="150"/>
      <c r="AA74" s="150"/>
    </row>
    <row r="75" spans="2:27" ht="15">
      <c r="B75" s="136" t="s">
        <v>274</v>
      </c>
      <c r="C75" s="491">
        <f aca="true" t="shared" si="17" ref="C75:M75">C70+C71</f>
        <v>0</v>
      </c>
      <c r="D75" s="491">
        <f t="shared" si="17"/>
        <v>6150</v>
      </c>
      <c r="E75" s="491">
        <f t="shared" si="17"/>
        <v>10455</v>
      </c>
      <c r="F75" s="491">
        <f t="shared" si="17"/>
        <v>7318.5</v>
      </c>
      <c r="G75" s="491">
        <f t="shared" si="17"/>
        <v>48333.732669532204</v>
      </c>
      <c r="H75" s="491">
        <f t="shared" si="17"/>
        <v>0</v>
      </c>
      <c r="I75" s="491">
        <f t="shared" si="17"/>
        <v>0</v>
      </c>
      <c r="J75" s="491">
        <f t="shared" si="17"/>
        <v>0</v>
      </c>
      <c r="K75" s="491">
        <f t="shared" si="17"/>
        <v>0</v>
      </c>
      <c r="L75" s="491">
        <f t="shared" si="17"/>
        <v>0</v>
      </c>
      <c r="M75" s="491">
        <f t="shared" si="17"/>
        <v>0</v>
      </c>
      <c r="N75" s="492">
        <f t="shared" si="11"/>
        <v>72257.23266953221</v>
      </c>
      <c r="O75" s="491"/>
      <c r="P75" s="132"/>
      <c r="Q75" s="134">
        <f t="shared" si="14"/>
        <v>14285.95</v>
      </c>
      <c r="R75" s="134">
        <f t="shared" si="12"/>
        <v>4285.785</v>
      </c>
      <c r="T75" s="150"/>
      <c r="U75" s="150"/>
      <c r="V75" s="150"/>
      <c r="W75" s="150"/>
      <c r="X75" s="150"/>
      <c r="Y75" s="150"/>
      <c r="Z75" s="150"/>
      <c r="AA75" s="150"/>
    </row>
    <row r="76" spans="2:18" ht="15.75" thickBot="1">
      <c r="B76" s="523" t="s">
        <v>275</v>
      </c>
      <c r="C76" s="497">
        <f aca="true" t="shared" si="18" ref="C76:N76">C75-C68</f>
        <v>-20000</v>
      </c>
      <c r="D76" s="497">
        <f t="shared" si="18"/>
        <v>-23072.24319367627</v>
      </c>
      <c r="E76" s="497">
        <f t="shared" si="18"/>
        <v>-18767.24319367627</v>
      </c>
      <c r="F76" s="497">
        <f t="shared" si="18"/>
        <v>-21903.74319367627</v>
      </c>
      <c r="G76" s="497">
        <f t="shared" si="18"/>
        <v>36000.46225056102</v>
      </c>
      <c r="H76" s="497">
        <f t="shared" si="18"/>
        <v>-5762.870894508204</v>
      </c>
      <c r="I76" s="497">
        <f t="shared" si="18"/>
        <v>0</v>
      </c>
      <c r="J76" s="497">
        <f t="shared" si="18"/>
        <v>0</v>
      </c>
      <c r="K76" s="497">
        <f t="shared" si="18"/>
        <v>0</v>
      </c>
      <c r="L76" s="497">
        <f t="shared" si="18"/>
        <v>0</v>
      </c>
      <c r="M76" s="497">
        <f t="shared" si="18"/>
        <v>0</v>
      </c>
      <c r="N76" s="498">
        <f t="shared" si="18"/>
        <v>-53505.638224976006</v>
      </c>
      <c r="O76" s="491"/>
      <c r="P76" s="132"/>
      <c r="Q76" s="134">
        <f t="shared" si="14"/>
        <v>10000.165</v>
      </c>
      <c r="R76" s="134">
        <f t="shared" si="12"/>
        <v>3000.0495</v>
      </c>
    </row>
    <row r="77" spans="2:18" ht="15">
      <c r="B77" s="127" t="s">
        <v>276</v>
      </c>
      <c r="P77" s="132"/>
      <c r="Q77" s="134">
        <f t="shared" si="14"/>
        <v>7000.115500000001</v>
      </c>
      <c r="R77" s="134">
        <f t="shared" si="12"/>
        <v>2100.03465</v>
      </c>
    </row>
    <row r="78" spans="16:18" ht="15">
      <c r="P78" s="132"/>
      <c r="Q78" s="134">
        <f t="shared" si="14"/>
        <v>4900.08085</v>
      </c>
      <c r="R78" s="134">
        <f t="shared" si="12"/>
        <v>1470.024255</v>
      </c>
    </row>
    <row r="79" spans="16:18" ht="15">
      <c r="P79" s="132"/>
      <c r="Q79" s="134">
        <f t="shared" si="14"/>
        <v>3430.056595</v>
      </c>
      <c r="R79" s="134">
        <f t="shared" si="12"/>
        <v>1029.0169785</v>
      </c>
    </row>
    <row r="80" spans="2:18" ht="16.5" thickBot="1">
      <c r="B80" s="117" t="s">
        <v>183</v>
      </c>
      <c r="P80" s="132"/>
      <c r="Q80" s="134">
        <f t="shared" si="14"/>
        <v>2401.0396165</v>
      </c>
      <c r="R80" s="134">
        <f t="shared" si="12"/>
        <v>720.31188495</v>
      </c>
    </row>
    <row r="81" spans="2:18" ht="31.5">
      <c r="B81" s="524" t="s">
        <v>277</v>
      </c>
      <c r="C81" s="123" t="s">
        <v>169</v>
      </c>
      <c r="D81" s="123" t="s">
        <v>80</v>
      </c>
      <c r="E81" s="123" t="s">
        <v>81</v>
      </c>
      <c r="F81" s="123" t="s">
        <v>82</v>
      </c>
      <c r="G81" s="123" t="s">
        <v>83</v>
      </c>
      <c r="H81" s="123" t="s">
        <v>84</v>
      </c>
      <c r="I81" s="123" t="s">
        <v>85</v>
      </c>
      <c r="J81" s="123" t="s">
        <v>86</v>
      </c>
      <c r="K81" s="123" t="s">
        <v>87</v>
      </c>
      <c r="L81" s="123" t="s">
        <v>88</v>
      </c>
      <c r="M81" s="123" t="s">
        <v>170</v>
      </c>
      <c r="N81" s="124" t="s">
        <v>12</v>
      </c>
      <c r="P81" s="132"/>
      <c r="Q81" s="134">
        <f t="shared" si="14"/>
        <v>1680.72773155</v>
      </c>
      <c r="R81" s="134">
        <f t="shared" si="12"/>
        <v>504.218319465</v>
      </c>
    </row>
    <row r="82" spans="2:18" ht="15">
      <c r="B82" s="521" t="s">
        <v>278</v>
      </c>
      <c r="C82" s="491">
        <f>IF(C60&lt;=$G$33,+$G$34)</f>
        <v>14000</v>
      </c>
      <c r="D82" s="491">
        <f aca="true" t="shared" si="19" ref="D82:M82">IF(D60&lt;=$G$33,+$G$34,IF(AND($G$40="non",$C$39&gt;$G$33,D60&lt;=$C$39),+$G$34*(1+$C$47)^D60))</f>
        <v>14000</v>
      </c>
      <c r="E82" s="491">
        <f t="shared" si="19"/>
        <v>14000</v>
      </c>
      <c r="F82" s="491">
        <f t="shared" si="19"/>
        <v>14000</v>
      </c>
      <c r="G82" s="491" t="b">
        <f t="shared" si="19"/>
        <v>0</v>
      </c>
      <c r="H82" s="491" t="b">
        <f t="shared" si="19"/>
        <v>0</v>
      </c>
      <c r="I82" s="491" t="b">
        <f t="shared" si="19"/>
        <v>0</v>
      </c>
      <c r="J82" s="491" t="b">
        <f t="shared" si="19"/>
        <v>0</v>
      </c>
      <c r="K82" s="491" t="b">
        <f t="shared" si="19"/>
        <v>0</v>
      </c>
      <c r="L82" s="491" t="b">
        <f t="shared" si="19"/>
        <v>0</v>
      </c>
      <c r="M82" s="491" t="b">
        <f t="shared" si="19"/>
        <v>0</v>
      </c>
      <c r="N82" s="492">
        <f>SUM(C82:M82)</f>
        <v>56000</v>
      </c>
      <c r="P82" s="132"/>
      <c r="Q82" s="134">
        <f t="shared" si="14"/>
        <v>1176.5094120850001</v>
      </c>
      <c r="R82" s="134">
        <f t="shared" si="12"/>
        <v>352.9528236255</v>
      </c>
    </row>
    <row r="83" spans="2:18" ht="15">
      <c r="B83" s="136" t="s">
        <v>184</v>
      </c>
      <c r="C83" s="491">
        <f aca="true" t="shared" si="20" ref="C83:M83">IF(C60=$G$33+1,($G$36-$G$35)*$G$38*$G$37*$G$33,IF(AND($G$40="non",$C$39&gt;$G$33,C60&lt;=$C$39+1,C60&gt;$G$33+1),+($G$36-$G$35)*$G$38*$G$37*(1+$C$47)^C60,0))</f>
        <v>0</v>
      </c>
      <c r="D83" s="491">
        <f t="shared" si="20"/>
        <v>0</v>
      </c>
      <c r="E83" s="491">
        <f t="shared" si="20"/>
        <v>0</v>
      </c>
      <c r="F83" s="491">
        <f t="shared" si="20"/>
        <v>0</v>
      </c>
      <c r="G83" s="491">
        <f t="shared" si="20"/>
        <v>0</v>
      </c>
      <c r="H83" s="491">
        <f t="shared" si="20"/>
        <v>0</v>
      </c>
      <c r="I83" s="491">
        <f t="shared" si="20"/>
        <v>0</v>
      </c>
      <c r="J83" s="491">
        <f t="shared" si="20"/>
        <v>0</v>
      </c>
      <c r="K83" s="491">
        <f t="shared" si="20"/>
        <v>0</v>
      </c>
      <c r="L83" s="491">
        <f t="shared" si="20"/>
        <v>0</v>
      </c>
      <c r="M83" s="491">
        <f t="shared" si="20"/>
        <v>0</v>
      </c>
      <c r="N83" s="492">
        <f>SUM(C83:M83)</f>
        <v>0</v>
      </c>
      <c r="P83" s="132"/>
      <c r="Q83" s="134">
        <f t="shared" si="14"/>
        <v>823.5565884595001</v>
      </c>
      <c r="R83" s="134">
        <f t="shared" si="12"/>
        <v>247.06697653785</v>
      </c>
    </row>
    <row r="84" spans="2:18" ht="15">
      <c r="B84" s="136" t="s">
        <v>279</v>
      </c>
      <c r="C84" s="491">
        <f aca="true" t="shared" si="21" ref="C84:M84">$G$39*(C82&gt;0)</f>
        <v>0</v>
      </c>
      <c r="D84" s="491">
        <f t="shared" si="21"/>
        <v>0</v>
      </c>
      <c r="E84" s="491">
        <f t="shared" si="21"/>
        <v>0</v>
      </c>
      <c r="F84" s="491">
        <f t="shared" si="21"/>
        <v>0</v>
      </c>
      <c r="G84" s="491">
        <f t="shared" si="21"/>
        <v>0</v>
      </c>
      <c r="H84" s="491">
        <f t="shared" si="21"/>
        <v>0</v>
      </c>
      <c r="I84" s="491">
        <f t="shared" si="21"/>
        <v>0</v>
      </c>
      <c r="J84" s="491">
        <f t="shared" si="21"/>
        <v>0</v>
      </c>
      <c r="K84" s="491">
        <f t="shared" si="21"/>
        <v>0</v>
      </c>
      <c r="L84" s="491">
        <f t="shared" si="21"/>
        <v>0</v>
      </c>
      <c r="M84" s="491">
        <f t="shared" si="21"/>
        <v>0</v>
      </c>
      <c r="N84" s="492">
        <f>SUM(C84:M84)</f>
        <v>0</v>
      </c>
      <c r="P84" s="132"/>
      <c r="Q84" s="134">
        <f t="shared" si="14"/>
        <v>576.4896119216501</v>
      </c>
      <c r="R84" s="134">
        <f t="shared" si="12"/>
        <v>172.94688357649503</v>
      </c>
    </row>
    <row r="85" spans="2:18" ht="15">
      <c r="B85" s="136" t="s">
        <v>296</v>
      </c>
      <c r="C85" s="491">
        <v>0</v>
      </c>
      <c r="D85" s="491">
        <f aca="true" t="shared" si="22" ref="D85:M85">SUM(C82:C84)*$C$44</f>
        <v>5740</v>
      </c>
      <c r="E85" s="491">
        <f t="shared" si="22"/>
        <v>5740</v>
      </c>
      <c r="F85" s="491">
        <f t="shared" si="22"/>
        <v>5740</v>
      </c>
      <c r="G85" s="491">
        <f t="shared" si="22"/>
        <v>5740</v>
      </c>
      <c r="H85" s="491">
        <f t="shared" si="22"/>
        <v>0</v>
      </c>
      <c r="I85" s="491">
        <f t="shared" si="22"/>
        <v>0</v>
      </c>
      <c r="J85" s="491">
        <f t="shared" si="22"/>
        <v>0</v>
      </c>
      <c r="K85" s="491">
        <f t="shared" si="22"/>
        <v>0</v>
      </c>
      <c r="L85" s="491">
        <f t="shared" si="22"/>
        <v>0</v>
      </c>
      <c r="M85" s="491">
        <f t="shared" si="22"/>
        <v>0</v>
      </c>
      <c r="N85" s="492">
        <f>SUM(C85:M85)</f>
        <v>22960</v>
      </c>
      <c r="O85" s="101"/>
      <c r="P85" s="113"/>
      <c r="Q85" s="113"/>
      <c r="R85" s="113"/>
    </row>
    <row r="86" spans="2:18" ht="15.75" thickBot="1">
      <c r="B86" s="136" t="s">
        <v>281</v>
      </c>
      <c r="C86" s="491">
        <f aca="true" t="shared" si="23" ref="C86:M86">SUM(C82:C84)-C85</f>
        <v>14000</v>
      </c>
      <c r="D86" s="491">
        <f t="shared" si="23"/>
        <v>8260</v>
      </c>
      <c r="E86" s="491">
        <f t="shared" si="23"/>
        <v>8260</v>
      </c>
      <c r="F86" s="491">
        <f t="shared" si="23"/>
        <v>8260</v>
      </c>
      <c r="G86" s="491">
        <f t="shared" si="23"/>
        <v>-5740</v>
      </c>
      <c r="H86" s="491">
        <f t="shared" si="23"/>
        <v>0</v>
      </c>
      <c r="I86" s="491">
        <f t="shared" si="23"/>
        <v>0</v>
      </c>
      <c r="J86" s="491">
        <f t="shared" si="23"/>
        <v>0</v>
      </c>
      <c r="K86" s="491">
        <f t="shared" si="23"/>
        <v>0</v>
      </c>
      <c r="L86" s="491">
        <f t="shared" si="23"/>
        <v>0</v>
      </c>
      <c r="M86" s="491">
        <f t="shared" si="23"/>
        <v>0</v>
      </c>
      <c r="N86" s="492">
        <f>SUM(C86:M86)</f>
        <v>33040</v>
      </c>
      <c r="P86" s="113"/>
      <c r="Q86" s="113"/>
      <c r="R86" s="113"/>
    </row>
    <row r="87" spans="2:14" ht="15">
      <c r="B87" s="525" t="s">
        <v>282</v>
      </c>
      <c r="C87" s="493"/>
      <c r="D87" s="493"/>
      <c r="E87" s="493"/>
      <c r="F87" s="493"/>
      <c r="G87" s="493"/>
      <c r="H87" s="493"/>
      <c r="I87" s="493"/>
      <c r="J87" s="493"/>
      <c r="K87" s="493"/>
      <c r="L87" s="493"/>
      <c r="M87" s="493"/>
      <c r="N87" s="494"/>
    </row>
    <row r="88" spans="2:14" ht="15">
      <c r="B88" s="136" t="s">
        <v>263</v>
      </c>
      <c r="C88" s="495">
        <f>($G$40="oui")*IF($G$41="non",IF(C60=$G$33+1,+$G$31,0),IF(AND(C60=$G$33+1,C60&lt;=$C$39),PMT($G$43,$G$42,-$G$31)+$G$44,IF(AND(C60&gt;=$G$33+1,C60&lt;$G$33+1+$G$42,C60&lt;=$C$39),PMT($G$43,$G$42,-$G$31),0)))</f>
        <v>0</v>
      </c>
      <c r="D88" s="495">
        <f>($G$40="oui")*IF($G$41="non",IF(D60=$G$33+1,+$G$31,0),IF(AND(D60=$G$33+1,D60&lt;=$C$39),PMT($G$43,$G$42,-$G$31)+$G$44,IF(AND(D60&gt;=$G$33+1,D60&lt;$G$33+1+$G$42,D60&lt;=$C$39),PMT($G$43,$G$42,-$G$31),0)))</f>
        <v>0</v>
      </c>
      <c r="E88" s="495">
        <f>($G$40="oui")*IF($G$41="non",IF(E60=$G$33+1,+$G$31,0),IF(AND(E60=$G$33+1,E60&lt;=$C$39),PMT($G$43,$G$42,-$G$31)+$G$44,IF(AND(E60&gt;=$G$33+1,E60&lt;$G$33+1+$G$42,E60&lt;=$C$39),PMT($G$43,$G$42,-$G$31),0)))</f>
        <v>0</v>
      </c>
      <c r="F88" s="495">
        <f>($G$40="oui")*IF($G$41="non",IF(F60=$G$33+1,+$G$31,0),IF(AND(F60=$G$33+1,F60&lt;=$C$39),PMT($G$43,$G$42,-$G$31)+$G$44,IF(AND(F60&gt;=$G$33+1,F60&lt;$G$33+1+$G$42,F60&lt;=$C$39),PMT($G$43,$G$42,-$G$31),0)))</f>
        <v>0</v>
      </c>
      <c r="G88" s="495">
        <f>($G$40="oui")*IF($G$41="non",IF(G60=$G$33+1,+$G$31,0),IF(AND(G60=$G$33+1,G60&lt;=$C$39),PMT($G$43,$G$42,-$G$31)+$G$44,IF(AND(G60&gt;=$G$33+1,G60&lt;$G$33+$G$42+1,G60&lt;=$C$39),PMT($G$43,$G$42,-$G$31),0)))</f>
        <v>0</v>
      </c>
      <c r="H88" s="495">
        <f aca="true" t="shared" si="24" ref="H88:M88">($G$40="oui")*IF($G$41="non",IF(H60=$G$33+1,+$G$31,0),IF(AND(H60=$G$33+1,H60&lt;=$C$39),PMT($G$43,$G$42,-$G$31)+$G$44,IF(AND(H60&gt;=$G$33+1,H60&lt;$G$33+1+$G$42,H60&lt;=$C$39),PMT($G$43,$G$42,-$G$31),0)))</f>
        <v>0</v>
      </c>
      <c r="I88" s="495">
        <f t="shared" si="24"/>
        <v>0</v>
      </c>
      <c r="J88" s="495">
        <f t="shared" si="24"/>
        <v>0</v>
      </c>
      <c r="K88" s="495">
        <f t="shared" si="24"/>
        <v>0</v>
      </c>
      <c r="L88" s="495">
        <f t="shared" si="24"/>
        <v>0</v>
      </c>
      <c r="M88" s="495">
        <f t="shared" si="24"/>
        <v>0</v>
      </c>
      <c r="N88" s="492">
        <f aca="true" t="shared" si="25" ref="N88:N95">SUM(C88:M88)</f>
        <v>0</v>
      </c>
    </row>
    <row r="89" spans="2:14" ht="15">
      <c r="B89" s="136" t="s">
        <v>181</v>
      </c>
      <c r="C89" s="495" t="b">
        <f aca="true" t="shared" si="26" ref="C89:M89">IF($G$41="oui",IF(C88&gt;0,-IPMT($G$43,C60-$G$33,$G$42,$G$31)))</f>
        <v>0</v>
      </c>
      <c r="D89" s="495" t="b">
        <f t="shared" si="26"/>
        <v>0</v>
      </c>
      <c r="E89" s="495" t="b">
        <f t="shared" si="26"/>
        <v>0</v>
      </c>
      <c r="F89" s="495" t="b">
        <f t="shared" si="26"/>
        <v>0</v>
      </c>
      <c r="G89" s="495" t="b">
        <f t="shared" si="26"/>
        <v>0</v>
      </c>
      <c r="H89" s="495" t="b">
        <f t="shared" si="26"/>
        <v>0</v>
      </c>
      <c r="I89" s="495" t="b">
        <f t="shared" si="26"/>
        <v>0</v>
      </c>
      <c r="J89" s="495" t="b">
        <f t="shared" si="26"/>
        <v>0</v>
      </c>
      <c r="K89" s="495" t="b">
        <f t="shared" si="26"/>
        <v>0</v>
      </c>
      <c r="L89" s="495" t="b">
        <f t="shared" si="26"/>
        <v>0</v>
      </c>
      <c r="M89" s="495" t="b">
        <f t="shared" si="26"/>
        <v>0</v>
      </c>
      <c r="N89" s="492">
        <f t="shared" si="25"/>
        <v>0</v>
      </c>
    </row>
    <row r="90" spans="2:14" ht="15">
      <c r="B90" s="136" t="s">
        <v>283</v>
      </c>
      <c r="C90" s="495" t="b">
        <f aca="true" t="shared" si="27" ref="C90:M90">IF($G$41="oui",IF(C88&gt;0,-PPMT($G$43,C60-$G$33,$G$42,$G$31)))</f>
        <v>0</v>
      </c>
      <c r="D90" s="495" t="b">
        <f t="shared" si="27"/>
        <v>0</v>
      </c>
      <c r="E90" s="495" t="b">
        <f t="shared" si="27"/>
        <v>0</v>
      </c>
      <c r="F90" s="495" t="b">
        <f t="shared" si="27"/>
        <v>0</v>
      </c>
      <c r="G90" s="495" t="b">
        <f t="shared" si="27"/>
        <v>0</v>
      </c>
      <c r="H90" s="495" t="b">
        <f t="shared" si="27"/>
        <v>0</v>
      </c>
      <c r="I90" s="495" t="b">
        <f t="shared" si="27"/>
        <v>0</v>
      </c>
      <c r="J90" s="495" t="b">
        <f t="shared" si="27"/>
        <v>0</v>
      </c>
      <c r="K90" s="495" t="b">
        <f t="shared" si="27"/>
        <v>0</v>
      </c>
      <c r="L90" s="495" t="b">
        <f t="shared" si="27"/>
        <v>0</v>
      </c>
      <c r="M90" s="495" t="b">
        <f t="shared" si="27"/>
        <v>0</v>
      </c>
      <c r="N90" s="492">
        <f t="shared" si="25"/>
        <v>0</v>
      </c>
    </row>
    <row r="91" spans="2:14" ht="15">
      <c r="B91" s="520" t="s">
        <v>265</v>
      </c>
      <c r="C91" s="495" t="b">
        <f>IF(AND($G$41="oui",$G$40="oui",C60=$C$39),$G$31-SUM($C$90:C90))</f>
        <v>0</v>
      </c>
      <c r="D91" s="495" t="b">
        <f>IF(AND($G$41="oui",$G$40="oui",D60=$C$39),$G$31-SUM($C$90:D90))</f>
        <v>0</v>
      </c>
      <c r="E91" s="495" t="b">
        <f>IF(AND($G$41="oui",$G$40="oui",E60=$C$39),$G$31-SUM($C$90:E90))</f>
        <v>0</v>
      </c>
      <c r="F91" s="495" t="b">
        <f>IF(AND($G$41="oui",$G$40="oui",F60=$C$39),$G$31-SUM($C$90:F90))</f>
        <v>0</v>
      </c>
      <c r="G91" s="495" t="b">
        <f>IF(AND($G$41="oui",$G$40="oui",G60=$C$39),$G$31-SUM($C$90:G90))</f>
        <v>0</v>
      </c>
      <c r="H91" s="495" t="b">
        <f>IF(AND($G$41="oui",$G$40="oui",H60=$C$39),$G$31-SUM($C$90:H90))</f>
        <v>0</v>
      </c>
      <c r="I91" s="495" t="b">
        <f>IF(AND($G$41="oui",$G$40="oui",I60=$C$39),$G$31-SUM($C$90:I90))</f>
        <v>0</v>
      </c>
      <c r="J91" s="495" t="b">
        <f>IF(AND($G$41="oui",$G$40="oui",J60=$C$39),$G$31-SUM($C$90:J90))</f>
        <v>0</v>
      </c>
      <c r="K91" s="495" t="b">
        <f>IF(AND($G$41="oui",$G$40="oui",K60=$C$39),$G$31-SUM($C$90:K90))</f>
        <v>0</v>
      </c>
      <c r="L91" s="495" t="b">
        <f>IF(AND($G$41="oui",$G$40="oui",L60=$C$39),$G$31-SUM($C$90:L90))</f>
        <v>0</v>
      </c>
      <c r="M91" s="495" t="b">
        <f>IF(AND($G$41="oui",$G$40="oui",M60=$C$39),$G$31-SUM($C$90:M90))</f>
        <v>0</v>
      </c>
      <c r="N91" s="492">
        <f t="shared" si="25"/>
        <v>0</v>
      </c>
    </row>
    <row r="92" spans="2:30" ht="15">
      <c r="B92" s="136"/>
      <c r="C92" s="495"/>
      <c r="D92" s="495"/>
      <c r="E92" s="495"/>
      <c r="F92" s="495"/>
      <c r="G92" s="495"/>
      <c r="H92" s="495"/>
      <c r="I92" s="495"/>
      <c r="J92" s="495"/>
      <c r="K92" s="495"/>
      <c r="L92" s="495"/>
      <c r="M92" s="495"/>
      <c r="N92" s="492">
        <f t="shared" si="25"/>
        <v>0</v>
      </c>
      <c r="AA92" s="127"/>
      <c r="AB92" s="111"/>
      <c r="AC92" s="111"/>
      <c r="AD92" s="111"/>
    </row>
    <row r="93" spans="2:14" ht="15">
      <c r="B93" s="520" t="s">
        <v>266</v>
      </c>
      <c r="C93" s="495"/>
      <c r="D93" s="495" t="b">
        <f aca="true" t="shared" si="28" ref="D93:M93">IF(C97&gt;$G$28,($G$28-C97)*$C$45)</f>
        <v>0</v>
      </c>
      <c r="E93" s="495" t="b">
        <f t="shared" si="28"/>
        <v>0</v>
      </c>
      <c r="F93" s="495" t="b">
        <f t="shared" si="28"/>
        <v>0</v>
      </c>
      <c r="G93" s="495" t="b">
        <f t="shared" si="28"/>
        <v>0</v>
      </c>
      <c r="H93" s="495" t="b">
        <f t="shared" si="28"/>
        <v>0</v>
      </c>
      <c r="I93" s="495" t="b">
        <f t="shared" si="28"/>
        <v>0</v>
      </c>
      <c r="J93" s="495" t="b">
        <f t="shared" si="28"/>
        <v>0</v>
      </c>
      <c r="K93" s="495" t="b">
        <f t="shared" si="28"/>
        <v>0</v>
      </c>
      <c r="L93" s="495" t="b">
        <f t="shared" si="28"/>
        <v>0</v>
      </c>
      <c r="M93" s="495" t="b">
        <f t="shared" si="28"/>
        <v>0</v>
      </c>
      <c r="N93" s="492">
        <f t="shared" si="25"/>
        <v>0</v>
      </c>
    </row>
    <row r="94" spans="2:14" ht="15">
      <c r="B94" s="136" t="s">
        <v>267</v>
      </c>
      <c r="C94" s="495"/>
      <c r="D94" s="495" t="b">
        <f aca="true" t="shared" si="29" ref="D94:M94">IF(AND(C97&gt;$G$28-$N$99-$N$100,C97&gt;0),(C97-$G$28+$N$99+$N$100)*$C$44)</f>
        <v>0</v>
      </c>
      <c r="E94" s="495" t="b">
        <f t="shared" si="29"/>
        <v>0</v>
      </c>
      <c r="F94" s="495" t="b">
        <f t="shared" si="29"/>
        <v>0</v>
      </c>
      <c r="G94" s="495" t="b">
        <f t="shared" si="29"/>
        <v>0</v>
      </c>
      <c r="H94" s="495" t="b">
        <f t="shared" si="29"/>
        <v>0</v>
      </c>
      <c r="I94" s="495" t="b">
        <f t="shared" si="29"/>
        <v>0</v>
      </c>
      <c r="J94" s="495" t="b">
        <f t="shared" si="29"/>
        <v>0</v>
      </c>
      <c r="K94" s="495" t="b">
        <f t="shared" si="29"/>
        <v>0</v>
      </c>
      <c r="L94" s="495" t="b">
        <f t="shared" si="29"/>
        <v>0</v>
      </c>
      <c r="M94" s="495" t="b">
        <f t="shared" si="29"/>
        <v>0</v>
      </c>
      <c r="N94" s="492">
        <f t="shared" si="25"/>
        <v>0</v>
      </c>
    </row>
    <row r="95" spans="2:14" ht="16.5" thickBot="1">
      <c r="B95" s="135" t="s">
        <v>269</v>
      </c>
      <c r="C95" s="495">
        <f aca="true" t="shared" si="30" ref="C95:M95">C88+SUM(C91:C94)</f>
        <v>0</v>
      </c>
      <c r="D95" s="495">
        <f t="shared" si="30"/>
        <v>0</v>
      </c>
      <c r="E95" s="495">
        <f t="shared" si="30"/>
        <v>0</v>
      </c>
      <c r="F95" s="495">
        <f t="shared" si="30"/>
        <v>0</v>
      </c>
      <c r="G95" s="495">
        <f t="shared" si="30"/>
        <v>0</v>
      </c>
      <c r="H95" s="495">
        <f t="shared" si="30"/>
        <v>0</v>
      </c>
      <c r="I95" s="495">
        <f t="shared" si="30"/>
        <v>0</v>
      </c>
      <c r="J95" s="495">
        <f t="shared" si="30"/>
        <v>0</v>
      </c>
      <c r="K95" s="495">
        <f t="shared" si="30"/>
        <v>0</v>
      </c>
      <c r="L95" s="495">
        <f t="shared" si="30"/>
        <v>0</v>
      </c>
      <c r="M95" s="495">
        <f t="shared" si="30"/>
        <v>0</v>
      </c>
      <c r="N95" s="492">
        <f t="shared" si="25"/>
        <v>0</v>
      </c>
    </row>
    <row r="96" spans="2:14" ht="15">
      <c r="B96" s="522" t="s">
        <v>284</v>
      </c>
      <c r="C96" s="496"/>
      <c r="D96" s="496"/>
      <c r="E96" s="496"/>
      <c r="F96" s="496"/>
      <c r="G96" s="496"/>
      <c r="H96" s="496"/>
      <c r="I96" s="496"/>
      <c r="J96" s="496"/>
      <c r="K96" s="496"/>
      <c r="L96" s="496"/>
      <c r="M96" s="496"/>
      <c r="N96" s="494"/>
    </row>
    <row r="97" spans="2:14" ht="15">
      <c r="B97" s="136" t="s">
        <v>182</v>
      </c>
      <c r="C97" s="495"/>
      <c r="D97" s="495">
        <f aca="true" t="shared" si="31" ref="D97:M97">IF(AND(D60=$C$39+1,$G$40="oui"),$C$28,0)</f>
        <v>0</v>
      </c>
      <c r="E97" s="495">
        <f t="shared" si="31"/>
        <v>0</v>
      </c>
      <c r="F97" s="495">
        <f t="shared" si="31"/>
        <v>0</v>
      </c>
      <c r="G97" s="495">
        <f t="shared" si="31"/>
        <v>0</v>
      </c>
      <c r="H97" s="495">
        <f t="shared" si="31"/>
        <v>0</v>
      </c>
      <c r="I97" s="495">
        <f t="shared" si="31"/>
        <v>0</v>
      </c>
      <c r="J97" s="495">
        <f t="shared" si="31"/>
        <v>0</v>
      </c>
      <c r="K97" s="495">
        <f t="shared" si="31"/>
        <v>0</v>
      </c>
      <c r="L97" s="495">
        <f t="shared" si="31"/>
        <v>0</v>
      </c>
      <c r="M97" s="495">
        <f t="shared" si="31"/>
        <v>0</v>
      </c>
      <c r="N97" s="492">
        <f aca="true" t="shared" si="32" ref="N97:N104">SUM(C97:M97)</f>
        <v>0</v>
      </c>
    </row>
    <row r="98" spans="2:14" ht="15">
      <c r="B98" s="136" t="s">
        <v>272</v>
      </c>
      <c r="C98" s="495"/>
      <c r="D98" s="495">
        <f aca="true" t="shared" si="33" ref="D98:M98">SUM(D99:D102)*$C$44</f>
        <v>0</v>
      </c>
      <c r="E98" s="495">
        <f t="shared" si="33"/>
        <v>0</v>
      </c>
      <c r="F98" s="495">
        <f t="shared" si="33"/>
        <v>0</v>
      </c>
      <c r="G98" s="495">
        <f t="shared" si="33"/>
        <v>0</v>
      </c>
      <c r="H98" s="495">
        <f t="shared" si="33"/>
        <v>0</v>
      </c>
      <c r="I98" s="495">
        <f t="shared" si="33"/>
        <v>0</v>
      </c>
      <c r="J98" s="495">
        <f t="shared" si="33"/>
        <v>0</v>
      </c>
      <c r="K98" s="495">
        <f t="shared" si="33"/>
        <v>0</v>
      </c>
      <c r="L98" s="495">
        <f t="shared" si="33"/>
        <v>0</v>
      </c>
      <c r="M98" s="495">
        <f t="shared" si="33"/>
        <v>0</v>
      </c>
      <c r="N98" s="492">
        <f t="shared" si="32"/>
        <v>0</v>
      </c>
    </row>
    <row r="99" spans="2:14" ht="15">
      <c r="B99" s="136" t="s">
        <v>280</v>
      </c>
      <c r="C99" s="495"/>
      <c r="D99" s="495" t="b">
        <f>IF(AND($G$40="oui",D60&gt;$G$33+1,D60&lt;=$C$39+1),($G$28-$G$47)*INDEX('Bail ou achat'!$Q$18:$Y$18,C60-$G$33)/100)</f>
        <v>0</v>
      </c>
      <c r="E99" s="495" t="b">
        <f>IF(AND($G$40="oui",E60&gt;$G$33+1,E60&lt;=$C$39+1),($G$28-$G$47)*INDEX('Bail ou achat'!$Q$18:$Y$18,D60-$G$33)/100)</f>
        <v>0</v>
      </c>
      <c r="F99" s="495" t="b">
        <f>IF(AND($G$40="oui",F60&gt;$G$33+1,F60&lt;=$C$39+1),($G$28-$G$47)*INDEX('Bail ou achat'!$Q$18:$Y$18,E60-$G$33)/100)</f>
        <v>0</v>
      </c>
      <c r="G99" s="495" t="b">
        <f>IF(AND($G$40="oui",G60&gt;$G$33+1,G60&lt;=$C$39+1),($G$28-$G$47)*INDEX('Bail ou achat'!$Q$18:$Y$18,F60-$G$33)/100)</f>
        <v>0</v>
      </c>
      <c r="H99" s="495" t="b">
        <f>IF(AND($G$40="oui",H60&gt;$G$33+1,H60&lt;=$C$39+1),($G$28-$G$47)*INDEX('Bail ou achat'!$Q$18:$Y$18,G60-$G$33)/100)</f>
        <v>0</v>
      </c>
      <c r="I99" s="495" t="b">
        <f>IF(AND($G$40="oui",I60&gt;$G$33+1,I60&lt;=$C$39+1),($G$28-$G$47)*INDEX('Bail ou achat'!$Q$18:$Y$18,H60-$G$33)/100)</f>
        <v>0</v>
      </c>
      <c r="J99" s="495" t="b">
        <f>IF(AND($G$40="oui",J60&gt;$G$33+1,J60&lt;=$C$39+1),($G$28-$G$47)*INDEX('Bail ou achat'!$Q$18:$Y$18,I60-$G$33)/100)</f>
        <v>0</v>
      </c>
      <c r="K99" s="495" t="b">
        <f>IF(AND($G$40="oui",K60&gt;$G$33+1,K60&lt;=$C$39+1),($G$28-$G$47)*INDEX('Bail ou achat'!$Q$18:$Y$18,J60-$G$33)/100)</f>
        <v>0</v>
      </c>
      <c r="L99" s="495" t="b">
        <f>IF(AND($G$40="oui",L60&gt;$G$33+1,L60&lt;=$C$39+1),($G$28-$G$47)*INDEX('Bail ou achat'!$Q$18:$Y$18,K60-$G$33)/100)</f>
        <v>0</v>
      </c>
      <c r="M99" s="495" t="b">
        <f>IF(AND($G$40="oui",M60&gt;$G$33+1,M60&lt;=$C$39+1),($G$28-$G$47)*INDEX('Bail ou achat'!$Q$18:$Y$18,L60-$G$33)/100)</f>
        <v>0</v>
      </c>
      <c r="N99" s="492">
        <f t="shared" si="32"/>
        <v>0</v>
      </c>
    </row>
    <row r="100" spans="2:14" ht="15">
      <c r="B100" s="136" t="s">
        <v>285</v>
      </c>
      <c r="C100" s="495"/>
      <c r="D100" s="495" t="b">
        <f aca="true" t="shared" si="34" ref="D100:M100">IF(AND($G$40="oui",D60=$G$33+2),$G$47)</f>
        <v>0</v>
      </c>
      <c r="E100" s="495" t="b">
        <f t="shared" si="34"/>
        <v>0</v>
      </c>
      <c r="F100" s="495" t="b">
        <f t="shared" si="34"/>
        <v>0</v>
      </c>
      <c r="G100" s="495" t="b">
        <f t="shared" si="34"/>
        <v>0</v>
      </c>
      <c r="H100" s="495" t="b">
        <f t="shared" si="34"/>
        <v>0</v>
      </c>
      <c r="I100" s="495" t="b">
        <f t="shared" si="34"/>
        <v>0</v>
      </c>
      <c r="J100" s="495" t="b">
        <f t="shared" si="34"/>
        <v>0</v>
      </c>
      <c r="K100" s="495" t="b">
        <f t="shared" si="34"/>
        <v>0</v>
      </c>
      <c r="L100" s="495" t="b">
        <f t="shared" si="34"/>
        <v>0</v>
      </c>
      <c r="M100" s="495" t="b">
        <f t="shared" si="34"/>
        <v>0</v>
      </c>
      <c r="N100" s="492">
        <f t="shared" si="32"/>
        <v>0</v>
      </c>
    </row>
    <row r="101" spans="2:14" ht="15">
      <c r="B101" s="136" t="s">
        <v>297</v>
      </c>
      <c r="C101" s="495"/>
      <c r="D101" s="495">
        <f aca="true" t="shared" si="35" ref="D101:M101">C89+C92</f>
        <v>0</v>
      </c>
      <c r="E101" s="495">
        <f t="shared" si="35"/>
        <v>0</v>
      </c>
      <c r="F101" s="495">
        <f t="shared" si="35"/>
        <v>0</v>
      </c>
      <c r="G101" s="495">
        <f t="shared" si="35"/>
        <v>0</v>
      </c>
      <c r="H101" s="495">
        <f t="shared" si="35"/>
        <v>0</v>
      </c>
      <c r="I101" s="495">
        <f t="shared" si="35"/>
        <v>0</v>
      </c>
      <c r="J101" s="495">
        <f t="shared" si="35"/>
        <v>0</v>
      </c>
      <c r="K101" s="495">
        <f t="shared" si="35"/>
        <v>0</v>
      </c>
      <c r="L101" s="495">
        <f t="shared" si="35"/>
        <v>0</v>
      </c>
      <c r="M101" s="495">
        <f t="shared" si="35"/>
        <v>0</v>
      </c>
      <c r="N101" s="492">
        <f t="shared" si="32"/>
        <v>0</v>
      </c>
    </row>
    <row r="102" spans="2:14" ht="15">
      <c r="B102" s="136" t="s">
        <v>298</v>
      </c>
      <c r="C102" s="495"/>
      <c r="D102" s="495" t="b">
        <f aca="true" t="shared" si="36" ref="D102:M102">IF(AND(C97&gt;0,C97&lt;$G$28-$N$99-$N$100),-C97+($G$28-$N$99-$N$100))</f>
        <v>0</v>
      </c>
      <c r="E102" s="495" t="b">
        <f t="shared" si="36"/>
        <v>0</v>
      </c>
      <c r="F102" s="495" t="b">
        <f t="shared" si="36"/>
        <v>0</v>
      </c>
      <c r="G102" s="495" t="b">
        <f t="shared" si="36"/>
        <v>0</v>
      </c>
      <c r="H102" s="495" t="b">
        <f t="shared" si="36"/>
        <v>0</v>
      </c>
      <c r="I102" s="495" t="b">
        <f t="shared" si="36"/>
        <v>0</v>
      </c>
      <c r="J102" s="495" t="b">
        <f t="shared" si="36"/>
        <v>0</v>
      </c>
      <c r="K102" s="495" t="b">
        <f t="shared" si="36"/>
        <v>0</v>
      </c>
      <c r="L102" s="495" t="b">
        <f t="shared" si="36"/>
        <v>0</v>
      </c>
      <c r="M102" s="495" t="b">
        <f t="shared" si="36"/>
        <v>0</v>
      </c>
      <c r="N102" s="492">
        <f t="shared" si="32"/>
        <v>0</v>
      </c>
    </row>
    <row r="103" spans="2:14" ht="15">
      <c r="B103" s="136" t="s">
        <v>274</v>
      </c>
      <c r="C103" s="495">
        <f aca="true" t="shared" si="37" ref="C103:M103">C97+C98</f>
        <v>0</v>
      </c>
      <c r="D103" s="495">
        <f t="shared" si="37"/>
        <v>0</v>
      </c>
      <c r="E103" s="495">
        <f t="shared" si="37"/>
        <v>0</v>
      </c>
      <c r="F103" s="495">
        <f t="shared" si="37"/>
        <v>0</v>
      </c>
      <c r="G103" s="495">
        <f t="shared" si="37"/>
        <v>0</v>
      </c>
      <c r="H103" s="495">
        <f t="shared" si="37"/>
        <v>0</v>
      </c>
      <c r="I103" s="495">
        <f t="shared" si="37"/>
        <v>0</v>
      </c>
      <c r="J103" s="495">
        <f t="shared" si="37"/>
        <v>0</v>
      </c>
      <c r="K103" s="495">
        <f t="shared" si="37"/>
        <v>0</v>
      </c>
      <c r="L103" s="495">
        <f t="shared" si="37"/>
        <v>0</v>
      </c>
      <c r="M103" s="495">
        <f t="shared" si="37"/>
        <v>0</v>
      </c>
      <c r="N103" s="492">
        <f t="shared" si="32"/>
        <v>0</v>
      </c>
    </row>
    <row r="104" spans="2:14" ht="15">
      <c r="B104" s="136" t="s">
        <v>286</v>
      </c>
      <c r="C104" s="495">
        <f aca="true" t="shared" si="38" ref="C104:M104">C95-C103</f>
        <v>0</v>
      </c>
      <c r="D104" s="495">
        <f t="shared" si="38"/>
        <v>0</v>
      </c>
      <c r="E104" s="495">
        <f t="shared" si="38"/>
        <v>0</v>
      </c>
      <c r="F104" s="495">
        <f t="shared" si="38"/>
        <v>0</v>
      </c>
      <c r="G104" s="495">
        <f t="shared" si="38"/>
        <v>0</v>
      </c>
      <c r="H104" s="495">
        <f t="shared" si="38"/>
        <v>0</v>
      </c>
      <c r="I104" s="495">
        <f t="shared" si="38"/>
        <v>0</v>
      </c>
      <c r="J104" s="495">
        <f t="shared" si="38"/>
        <v>0</v>
      </c>
      <c r="K104" s="495">
        <f t="shared" si="38"/>
        <v>0</v>
      </c>
      <c r="L104" s="495">
        <f t="shared" si="38"/>
        <v>0</v>
      </c>
      <c r="M104" s="495">
        <f t="shared" si="38"/>
        <v>0</v>
      </c>
      <c r="N104" s="492">
        <f t="shared" si="32"/>
        <v>0</v>
      </c>
    </row>
    <row r="105" spans="2:14" ht="15.75" thickBot="1">
      <c r="B105" s="523" t="s">
        <v>287</v>
      </c>
      <c r="C105" s="497">
        <f aca="true" t="shared" si="39" ref="C105:N105">-C104-C86</f>
        <v>-14000</v>
      </c>
      <c r="D105" s="497">
        <f t="shared" si="39"/>
        <v>-8260</v>
      </c>
      <c r="E105" s="497">
        <f t="shared" si="39"/>
        <v>-8260</v>
      </c>
      <c r="F105" s="497">
        <f t="shared" si="39"/>
        <v>-8260</v>
      </c>
      <c r="G105" s="497">
        <f t="shared" si="39"/>
        <v>5740</v>
      </c>
      <c r="H105" s="497">
        <f t="shared" si="39"/>
        <v>0</v>
      </c>
      <c r="I105" s="497">
        <f t="shared" si="39"/>
        <v>0</v>
      </c>
      <c r="J105" s="497">
        <f t="shared" si="39"/>
        <v>0</v>
      </c>
      <c r="K105" s="497">
        <f t="shared" si="39"/>
        <v>0</v>
      </c>
      <c r="L105" s="497">
        <f t="shared" si="39"/>
        <v>0</v>
      </c>
      <c r="M105" s="497">
        <f t="shared" si="39"/>
        <v>0</v>
      </c>
      <c r="N105" s="498">
        <f t="shared" si="39"/>
        <v>-33040</v>
      </c>
    </row>
    <row r="106" spans="2:14" ht="15">
      <c r="B106" s="127" t="s">
        <v>276</v>
      </c>
      <c r="C106" s="125"/>
      <c r="D106" s="125"/>
      <c r="E106" s="125"/>
      <c r="F106" s="125"/>
      <c r="G106" s="125"/>
      <c r="H106" s="125"/>
      <c r="I106" s="125"/>
      <c r="J106" s="125"/>
      <c r="K106" s="125"/>
      <c r="L106" s="125"/>
      <c r="M106" s="125"/>
      <c r="N106" s="125"/>
    </row>
    <row r="107" ht="15"/>
    <row r="108" ht="15"/>
    <row r="109" ht="15"/>
    <row r="110" ht="15.75" thickBot="1"/>
    <row r="111" spans="2:17" ht="15">
      <c r="B111" s="287"/>
      <c r="C111" s="288"/>
      <c r="D111" s="288"/>
      <c r="E111" s="288"/>
      <c r="F111" s="288"/>
      <c r="G111" s="288"/>
      <c r="H111" s="288"/>
      <c r="I111" s="288"/>
      <c r="J111" s="288"/>
      <c r="K111" s="288"/>
      <c r="L111" s="288"/>
      <c r="M111" s="288"/>
      <c r="N111" s="288"/>
      <c r="O111" s="288"/>
      <c r="P111" s="288"/>
      <c r="Q111" s="289"/>
    </row>
    <row r="112" spans="2:17" ht="15.75">
      <c r="B112" s="325" t="s">
        <v>288</v>
      </c>
      <c r="C112" s="113"/>
      <c r="D112" s="113"/>
      <c r="E112" s="113"/>
      <c r="F112" s="113"/>
      <c r="G112" s="113"/>
      <c r="H112" s="113"/>
      <c r="I112" s="113"/>
      <c r="J112" s="113"/>
      <c r="K112" s="113"/>
      <c r="L112" s="113"/>
      <c r="M112" s="291" t="s">
        <v>290</v>
      </c>
      <c r="N112" s="370"/>
      <c r="O112" s="113"/>
      <c r="P112" s="113"/>
      <c r="Q112" s="292"/>
    </row>
    <row r="113" spans="2:17" ht="15">
      <c r="B113" s="325"/>
      <c r="C113" s="113"/>
      <c r="D113" s="113"/>
      <c r="E113" s="113"/>
      <c r="F113" s="113"/>
      <c r="G113" s="113"/>
      <c r="H113" s="113"/>
      <c r="I113" s="113"/>
      <c r="J113" s="113"/>
      <c r="K113" s="113"/>
      <c r="L113" s="113"/>
      <c r="M113" s="293" t="s">
        <v>230</v>
      </c>
      <c r="N113" s="294"/>
      <c r="O113" s="294"/>
      <c r="P113" s="295">
        <v>1</v>
      </c>
      <c r="Q113" s="292"/>
    </row>
    <row r="114" spans="2:17" ht="20.25">
      <c r="B114" s="366" t="s">
        <v>289</v>
      </c>
      <c r="C114" s="367"/>
      <c r="D114" s="368"/>
      <c r="E114" s="369"/>
      <c r="F114" s="367"/>
      <c r="G114" s="367"/>
      <c r="H114" s="296"/>
      <c r="I114" s="299"/>
      <c r="J114" s="113"/>
      <c r="K114" s="113"/>
      <c r="L114" s="113"/>
      <c r="M114" s="293" t="s">
        <v>188</v>
      </c>
      <c r="N114" s="294"/>
      <c r="O114" s="294"/>
      <c r="P114" s="295">
        <v>12</v>
      </c>
      <c r="Q114" s="292"/>
    </row>
    <row r="115" spans="2:17" ht="15">
      <c r="B115" s="290"/>
      <c r="C115" s="296"/>
      <c r="D115" s="296"/>
      <c r="E115" s="296"/>
      <c r="F115" s="298"/>
      <c r="G115" s="296"/>
      <c r="H115" s="296"/>
      <c r="I115" s="297"/>
      <c r="J115" s="113"/>
      <c r="K115" s="113"/>
      <c r="L115" s="113"/>
      <c r="M115" s="113"/>
      <c r="N115" s="113"/>
      <c r="O115" s="113"/>
      <c r="P115" s="113"/>
      <c r="Q115" s="292"/>
    </row>
    <row r="116" spans="2:17" ht="15.75">
      <c r="B116" s="290"/>
      <c r="C116" s="298"/>
      <c r="D116" s="298"/>
      <c r="E116" s="298"/>
      <c r="F116" s="298"/>
      <c r="G116" s="298"/>
      <c r="H116" s="298"/>
      <c r="I116" s="297"/>
      <c r="J116" s="113"/>
      <c r="K116" s="113"/>
      <c r="L116" s="113"/>
      <c r="M116" s="300" t="s">
        <v>291</v>
      </c>
      <c r="N116" s="301"/>
      <c r="O116" s="301"/>
      <c r="P116" s="301"/>
      <c r="Q116" s="292"/>
    </row>
    <row r="117" spans="2:17" ht="15">
      <c r="B117" s="290"/>
      <c r="C117" s="298"/>
      <c r="D117" s="298"/>
      <c r="E117" s="298"/>
      <c r="F117" s="298"/>
      <c r="G117" s="298"/>
      <c r="H117" s="298"/>
      <c r="I117" s="297"/>
      <c r="J117" s="113"/>
      <c r="K117" s="113"/>
      <c r="L117" s="113"/>
      <c r="M117" s="301"/>
      <c r="N117" s="301"/>
      <c r="O117" s="302" t="s">
        <v>90</v>
      </c>
      <c r="P117" s="303">
        <f>P113*P114-(P114-1)</f>
        <v>1</v>
      </c>
      <c r="Q117" s="292"/>
    </row>
    <row r="118" spans="2:17" ht="15">
      <c r="B118" s="290"/>
      <c r="C118" s="298"/>
      <c r="D118" s="298"/>
      <c r="E118" s="298"/>
      <c r="F118" s="298"/>
      <c r="G118" s="298"/>
      <c r="H118" s="298"/>
      <c r="I118" s="297"/>
      <c r="J118" s="538"/>
      <c r="K118" s="539"/>
      <c r="L118" s="539"/>
      <c r="M118" s="301"/>
      <c r="N118" s="301"/>
      <c r="O118" s="302" t="s">
        <v>186</v>
      </c>
      <c r="P118" s="303">
        <f>P113*P114</f>
        <v>12</v>
      </c>
      <c r="Q118" s="292"/>
    </row>
    <row r="119" spans="2:17" ht="15">
      <c r="B119" s="290"/>
      <c r="C119" s="298"/>
      <c r="D119" s="298"/>
      <c r="E119" s="298"/>
      <c r="F119" s="298"/>
      <c r="G119" s="298"/>
      <c r="H119" s="298"/>
      <c r="I119" s="297"/>
      <c r="J119" s="113"/>
      <c r="K119" s="113"/>
      <c r="L119" s="113"/>
      <c r="M119" s="113"/>
      <c r="N119" s="113"/>
      <c r="O119" s="113"/>
      <c r="P119" s="113"/>
      <c r="Q119" s="292"/>
    </row>
    <row r="120" spans="2:17" ht="15">
      <c r="B120" s="290"/>
      <c r="C120" s="298"/>
      <c r="D120" s="298"/>
      <c r="E120" s="298"/>
      <c r="F120" s="298"/>
      <c r="G120" s="298"/>
      <c r="H120" s="298"/>
      <c r="I120" s="297"/>
      <c r="J120" s="113"/>
      <c r="K120" s="113"/>
      <c r="L120" s="113"/>
      <c r="M120" s="304" t="s">
        <v>292</v>
      </c>
      <c r="N120" s="305"/>
      <c r="O120" s="305"/>
      <c r="P120" s="371">
        <f>VLOOKUP(($P$113*$P$114),$Z$109:$AC$507,3)-VLOOKUP(($P$113*$P$114-($P$114-1))-1,$Z$109:$AC$507,3)</f>
        <v>0</v>
      </c>
      <c r="Q120" s="292"/>
    </row>
    <row r="121" spans="2:17" ht="15">
      <c r="B121" s="290"/>
      <c r="C121" s="113"/>
      <c r="D121" s="113"/>
      <c r="E121" s="113"/>
      <c r="F121" s="113"/>
      <c r="G121" s="113"/>
      <c r="H121" s="113"/>
      <c r="I121" s="113"/>
      <c r="J121" s="113"/>
      <c r="K121" s="113"/>
      <c r="L121" s="113"/>
      <c r="M121" s="113"/>
      <c r="N121" s="113"/>
      <c r="O121" s="113"/>
      <c r="P121" s="113"/>
      <c r="Q121" s="292"/>
    </row>
    <row r="122" spans="2:17" ht="20.25">
      <c r="B122" s="306"/>
      <c r="C122" s="307"/>
      <c r="D122" s="372" t="s">
        <v>166</v>
      </c>
      <c r="E122" s="373"/>
      <c r="F122" s="374"/>
      <c r="G122" s="375"/>
      <c r="H122" s="373"/>
      <c r="I122" s="374"/>
      <c r="J122" s="376"/>
      <c r="K122" s="308"/>
      <c r="L122" s="377" t="s">
        <v>165</v>
      </c>
      <c r="M122" s="308"/>
      <c r="N122" s="308"/>
      <c r="O122" s="308"/>
      <c r="P122" s="308"/>
      <c r="Q122" s="313"/>
    </row>
    <row r="123" spans="2:17" ht="15">
      <c r="B123" s="378"/>
      <c r="C123" s="373"/>
      <c r="D123" s="373"/>
      <c r="E123" s="309"/>
      <c r="F123" s="374"/>
      <c r="G123" s="379" t="s">
        <v>145</v>
      </c>
      <c r="H123" s="310"/>
      <c r="I123" s="374"/>
      <c r="J123" s="376"/>
      <c r="K123" s="308"/>
      <c r="L123" s="308"/>
      <c r="M123" s="308"/>
      <c r="N123" s="308"/>
      <c r="O123" s="308"/>
      <c r="P123" s="308"/>
      <c r="Q123" s="313"/>
    </row>
    <row r="124" spans="2:17" ht="15">
      <c r="B124" s="311" t="s">
        <v>140</v>
      </c>
      <c r="C124" s="380"/>
      <c r="D124" s="380"/>
      <c r="E124" s="381">
        <f>Loan</f>
        <v>100000</v>
      </c>
      <c r="F124" s="374"/>
      <c r="G124" s="487">
        <f>IF(AND(AND(AND(AND(E126&gt;=1,E127&gt;=1),E128&gt;=1),E124&gt;=0),E125&gt;=0),IF(E125=0,E124/E126/E127,((1+(E125/(E128)))^(E128/E127)-1)/(1-((1/(1+((1+(E125/(E128)))^(E128/E127)-1))^(E127*E126))))*E124),#VALUE!)</f>
        <v>2435.186932806356</v>
      </c>
      <c r="H124" s="316"/>
      <c r="I124" s="374"/>
      <c r="J124" s="376"/>
      <c r="K124" s="374"/>
      <c r="L124" s="382" t="s">
        <v>163</v>
      </c>
      <c r="M124" s="374"/>
      <c r="N124" s="374"/>
      <c r="O124" s="383">
        <v>1</v>
      </c>
      <c r="P124" s="308"/>
      <c r="Q124" s="313"/>
    </row>
    <row r="125" spans="2:17" ht="15">
      <c r="B125" s="312" t="s">
        <v>141</v>
      </c>
      <c r="C125" s="380"/>
      <c r="D125" s="380"/>
      <c r="E125" s="384">
        <f>Interest</f>
        <v>0.08</v>
      </c>
      <c r="F125" s="374"/>
      <c r="G125" s="385" t="s">
        <v>154</v>
      </c>
      <c r="H125" s="316"/>
      <c r="I125" s="374"/>
      <c r="J125" s="376"/>
      <c r="K125" s="374"/>
      <c r="L125" s="382" t="s">
        <v>164</v>
      </c>
      <c r="M125" s="386"/>
      <c r="N125" s="374"/>
      <c r="O125" s="383">
        <f>P118</f>
        <v>12</v>
      </c>
      <c r="P125" s="308"/>
      <c r="Q125" s="313"/>
    </row>
    <row r="126" spans="2:17" ht="15">
      <c r="B126" s="311" t="s">
        <v>142</v>
      </c>
      <c r="C126" s="380"/>
      <c r="D126" s="380"/>
      <c r="E126" s="387">
        <f>Term</f>
        <v>4</v>
      </c>
      <c r="F126" s="374"/>
      <c r="G126" s="488">
        <f>G124*E126*E127-E124</f>
        <v>16888.97277470508</v>
      </c>
      <c r="H126" s="388"/>
      <c r="I126" s="374"/>
      <c r="J126" s="376"/>
      <c r="K126" s="308"/>
      <c r="L126" s="308"/>
      <c r="M126" s="389" t="s">
        <v>13</v>
      </c>
      <c r="N126" s="386"/>
      <c r="O126" s="386"/>
      <c r="P126" s="308"/>
      <c r="Q126" s="313"/>
    </row>
    <row r="127" spans="2:17" ht="15">
      <c r="B127" s="314" t="s">
        <v>143</v>
      </c>
      <c r="C127" s="380"/>
      <c r="D127" s="390"/>
      <c r="E127" s="391">
        <f>C36</f>
        <v>12</v>
      </c>
      <c r="F127" s="374"/>
      <c r="G127" s="392" t="s">
        <v>152</v>
      </c>
      <c r="H127" s="388"/>
      <c r="I127" s="374"/>
      <c r="J127" s="376"/>
      <c r="K127" s="374"/>
      <c r="L127" s="374"/>
      <c r="M127" s="393" t="s">
        <v>160</v>
      </c>
      <c r="N127" s="374"/>
      <c r="O127" s="394">
        <f>O128+O129</f>
        <v>0</v>
      </c>
      <c r="P127" s="374"/>
      <c r="Q127" s="395"/>
    </row>
    <row r="128" spans="2:17" ht="15">
      <c r="B128" s="314" t="s">
        <v>185</v>
      </c>
      <c r="C128" s="380"/>
      <c r="D128" s="380"/>
      <c r="E128" s="396">
        <f>C37</f>
        <v>2</v>
      </c>
      <c r="F128" s="374"/>
      <c r="G128" s="397" t="s">
        <v>153</v>
      </c>
      <c r="H128" s="398"/>
      <c r="I128" s="374"/>
      <c r="J128" s="376"/>
      <c r="K128" s="374"/>
      <c r="L128" s="374"/>
      <c r="M128" s="393" t="s">
        <v>161</v>
      </c>
      <c r="N128" s="308"/>
      <c r="O128" s="394">
        <f>VLOOKUP($O$125,$Z$109:$AC$507,3)-VLOOKUP($O$124-1,$Z$109:$AC$507,3)</f>
        <v>0</v>
      </c>
      <c r="P128" s="374"/>
      <c r="Q128" s="395"/>
    </row>
    <row r="129" spans="2:17" ht="15">
      <c r="B129" s="315">
        <f>IF(E127&lt;1,"     WARNING: PAYMENTS PER Annee SHOULD BE AT LEAST 1 ",IF(E125&lt;0,"        Warning: Interest rate must be at least 0",""))</f>
      </c>
      <c r="C129" s="373"/>
      <c r="D129" s="373"/>
      <c r="E129" s="380"/>
      <c r="F129" s="374"/>
      <c r="G129" s="488">
        <f>IF(E126*E127&gt;400,"Can not calculate",SUM(S109:S507))</f>
        <v>0</v>
      </c>
      <c r="H129" s="316"/>
      <c r="I129" s="374"/>
      <c r="J129" s="376"/>
      <c r="K129" s="374"/>
      <c r="L129" s="374"/>
      <c r="M129" s="393" t="s">
        <v>162</v>
      </c>
      <c r="N129" s="308"/>
      <c r="O129" s="394">
        <f>VLOOKUP(O125,Z109:AC507,4)-VLOOKUP(O124-1,Z109:AC507,4)</f>
        <v>0</v>
      </c>
      <c r="P129" s="374"/>
      <c r="Q129" s="395"/>
    </row>
    <row r="130" spans="2:17" ht="15">
      <c r="B130" s="315">
        <f>IF(E126&lt;1,"  WARNING: LENGTH IS LESS THAN ONE Annee: DOUBLE CHECK INPUT",IF(E124&lt;=0,"       Warning: Loan Amount must be greater than 0",""))</f>
      </c>
      <c r="C130" s="373"/>
      <c r="D130" s="373"/>
      <c r="E130" s="373"/>
      <c r="F130" s="374"/>
      <c r="G130" s="399">
        <f>IF(E126*E127&gt;400,"more than 400 payments","")</f>
      </c>
      <c r="H130" s="400"/>
      <c r="I130" s="374"/>
      <c r="J130" s="376"/>
      <c r="K130" s="374"/>
      <c r="L130" s="401"/>
      <c r="M130" s="393"/>
      <c r="N130" s="308"/>
      <c r="O130" s="308"/>
      <c r="P130" s="308"/>
      <c r="Q130" s="313"/>
    </row>
    <row r="131" spans="2:17" ht="15">
      <c r="B131" s="317">
        <f>IF(E128&lt;1,"  WARNING: NUMBER OF COMPOUNDING PERIODS SHOULD BE AT LEAST ONE PER Annee","")</f>
      </c>
      <c r="C131" s="402"/>
      <c r="D131" s="403"/>
      <c r="E131" s="403"/>
      <c r="F131" s="404"/>
      <c r="G131" s="144"/>
      <c r="H131" s="144"/>
      <c r="I131" s="404"/>
      <c r="J131" s="405"/>
      <c r="K131" s="308"/>
      <c r="L131" s="308"/>
      <c r="M131" s="308"/>
      <c r="N131" s="308"/>
      <c r="O131" s="308"/>
      <c r="P131" s="308"/>
      <c r="Q131" s="313"/>
    </row>
    <row r="132" spans="2:17" ht="15">
      <c r="B132" s="318"/>
      <c r="C132" s="145" t="s">
        <v>144</v>
      </c>
      <c r="D132" s="406" t="s">
        <v>145</v>
      </c>
      <c r="E132" s="145"/>
      <c r="F132" s="145" t="s">
        <v>146</v>
      </c>
      <c r="G132" s="145" t="s">
        <v>147</v>
      </c>
      <c r="H132" s="407" t="s">
        <v>144</v>
      </c>
      <c r="I132" s="408"/>
      <c r="J132" s="409"/>
      <c r="K132" s="408"/>
      <c r="L132" s="410"/>
      <c r="M132" s="411" t="s">
        <v>147</v>
      </c>
      <c r="N132" s="411" t="s">
        <v>155</v>
      </c>
      <c r="O132" s="411" t="s">
        <v>14</v>
      </c>
      <c r="P132" s="410"/>
      <c r="Q132" s="412"/>
    </row>
    <row r="133" spans="2:17" ht="15">
      <c r="B133" s="319" t="s">
        <v>145</v>
      </c>
      <c r="C133" s="146" t="s">
        <v>148</v>
      </c>
      <c r="D133" s="146" t="s">
        <v>149</v>
      </c>
      <c r="E133" s="146" t="s">
        <v>50</v>
      </c>
      <c r="F133" s="146" t="s">
        <v>14</v>
      </c>
      <c r="G133" s="146" t="s">
        <v>150</v>
      </c>
      <c r="H133" s="146" t="s">
        <v>151</v>
      </c>
      <c r="I133" s="413"/>
      <c r="J133" s="414"/>
      <c r="K133" s="408"/>
      <c r="L133" s="411" t="s">
        <v>156</v>
      </c>
      <c r="M133" s="415" t="s">
        <v>157</v>
      </c>
      <c r="N133" s="411" t="s">
        <v>158</v>
      </c>
      <c r="O133" s="411" t="s">
        <v>159</v>
      </c>
      <c r="P133" s="410"/>
      <c r="Q133" s="412"/>
    </row>
    <row r="134" spans="2:17" ht="15">
      <c r="B134" s="416"/>
      <c r="C134" s="417">
        <f>E124</f>
        <v>100000</v>
      </c>
      <c r="D134" s="418"/>
      <c r="E134" s="419"/>
      <c r="F134" s="420"/>
      <c r="G134" s="419"/>
      <c r="H134" s="417">
        <f>E124</f>
        <v>100000</v>
      </c>
      <c r="I134" s="421"/>
      <c r="J134" s="422"/>
      <c r="K134" s="374"/>
      <c r="L134" s="423">
        <v>0</v>
      </c>
      <c r="M134" s="423">
        <v>0</v>
      </c>
      <c r="N134" s="423">
        <v>0</v>
      </c>
      <c r="O134" s="423">
        <v>0</v>
      </c>
      <c r="P134" s="308"/>
      <c r="Q134" s="313"/>
    </row>
    <row r="135" spans="2:17" ht="15">
      <c r="B135" s="320">
        <v>1</v>
      </c>
      <c r="C135" s="321">
        <f>E124</f>
        <v>100000</v>
      </c>
      <c r="D135" s="147">
        <f>ROUND(IF(C135+E135&lt;$G$124,C135+E135,$G$124),2)</f>
        <v>2435.19</v>
      </c>
      <c r="E135" s="321">
        <f>ROUND(((1+($E$125/($E$128)))^($E$128/$E$127)-1)*C135,2)</f>
        <v>655.82</v>
      </c>
      <c r="F135" s="321">
        <f>D135-E135+G135</f>
        <v>1779.37</v>
      </c>
      <c r="G135" s="424">
        <v>0</v>
      </c>
      <c r="H135" s="321">
        <f>ROUND(C135-F135,2)</f>
        <v>98220.63</v>
      </c>
      <c r="I135" s="425"/>
      <c r="J135" s="422"/>
      <c r="K135" s="374"/>
      <c r="L135" s="308">
        <f aca="true" t="shared" si="40" ref="L135:L198">B135</f>
        <v>1</v>
      </c>
      <c r="M135" s="426">
        <f>D135+G135</f>
        <v>2435.19</v>
      </c>
      <c r="N135" s="426">
        <f>E135</f>
        <v>655.82</v>
      </c>
      <c r="O135" s="426">
        <f>M135-N135</f>
        <v>1779.37</v>
      </c>
      <c r="P135" s="308"/>
      <c r="Q135" s="313"/>
    </row>
    <row r="136" spans="2:17" ht="15">
      <c r="B136" s="320">
        <f>IF(H135=0,"",1+B135)</f>
        <v>2</v>
      </c>
      <c r="C136" s="321">
        <f>IF(H135=0,"",ROUND(H135,2))</f>
        <v>98220.63</v>
      </c>
      <c r="D136" s="147">
        <f aca="true" t="shared" si="41" ref="D136:D167">IF(H135=0,"",ROUND(IF(C136+E136&lt;$G$124,C136+E136,$G$124),2))</f>
        <v>2435.19</v>
      </c>
      <c r="E136" s="321">
        <f aca="true" t="shared" si="42" ref="E136:E167">IF(H135=0,"",ROUND(((1+($E$125/($E$128)))^($E$128/$E$127)-1)*C136,2))</f>
        <v>644.15</v>
      </c>
      <c r="F136" s="321">
        <f>IF(H135=0,"",D136-E136+G136)</f>
        <v>1791.04</v>
      </c>
      <c r="G136" s="424">
        <v>0</v>
      </c>
      <c r="H136" s="321">
        <f>IF(H135=0,"",ROUND(C136-F136,2))</f>
        <v>96429.59</v>
      </c>
      <c r="I136" s="425"/>
      <c r="J136" s="422"/>
      <c r="K136" s="374"/>
      <c r="L136" s="308">
        <f t="shared" si="40"/>
        <v>2</v>
      </c>
      <c r="M136" s="426">
        <f>IF(H135=0,"",D136+G136+M135)</f>
        <v>4870.38</v>
      </c>
      <c r="N136" s="426">
        <f>IF(H135=0,"",N135+E136)</f>
        <v>1299.97</v>
      </c>
      <c r="O136" s="426">
        <f>IF(H135=0,"",M136-N136)</f>
        <v>3570.41</v>
      </c>
      <c r="P136" s="308"/>
      <c r="Q136" s="313"/>
    </row>
    <row r="137" spans="2:17" ht="15">
      <c r="B137" s="320">
        <f aca="true" t="shared" si="43" ref="B137:B200">IF(H136=0,"",1+B136)</f>
        <v>3</v>
      </c>
      <c r="C137" s="321">
        <f aca="true" t="shared" si="44" ref="C137:C200">IF(H136=0,"",ROUND(H136,2))</f>
        <v>96429.59</v>
      </c>
      <c r="D137" s="147">
        <f t="shared" si="41"/>
        <v>2435.19</v>
      </c>
      <c r="E137" s="321">
        <f t="shared" si="42"/>
        <v>632.4</v>
      </c>
      <c r="F137" s="321">
        <f aca="true" t="shared" si="45" ref="F137:F200">IF(H136=0,"",D137-E137+G137)</f>
        <v>1802.79</v>
      </c>
      <c r="G137" s="424">
        <v>0</v>
      </c>
      <c r="H137" s="321">
        <f aca="true" t="shared" si="46" ref="H137:H200">IF(H136=0,"",ROUND(C137-F137,2))</f>
        <v>94626.8</v>
      </c>
      <c r="I137" s="425"/>
      <c r="J137" s="422"/>
      <c r="K137" s="374"/>
      <c r="L137" s="308">
        <f t="shared" si="40"/>
        <v>3</v>
      </c>
      <c r="M137" s="426">
        <f aca="true" t="shared" si="47" ref="M137:M200">IF(H136=0,"",D137+G137+M136)</f>
        <v>7305.57</v>
      </c>
      <c r="N137" s="426">
        <f aca="true" t="shared" si="48" ref="N137:N200">IF(H136=0,"",N136+E137)</f>
        <v>1932.37</v>
      </c>
      <c r="O137" s="426">
        <f aca="true" t="shared" si="49" ref="O137:O200">IF(H136=0,"",M137-N137)</f>
        <v>5373.2</v>
      </c>
      <c r="P137" s="308"/>
      <c r="Q137" s="313"/>
    </row>
    <row r="138" spans="2:17" ht="15">
      <c r="B138" s="320">
        <f t="shared" si="43"/>
        <v>4</v>
      </c>
      <c r="C138" s="321">
        <f t="shared" si="44"/>
        <v>94626.8</v>
      </c>
      <c r="D138" s="147">
        <f t="shared" si="41"/>
        <v>2435.19</v>
      </c>
      <c r="E138" s="321">
        <f t="shared" si="42"/>
        <v>620.58</v>
      </c>
      <c r="F138" s="321">
        <f t="shared" si="45"/>
        <v>1814.6100000000001</v>
      </c>
      <c r="G138" s="424">
        <v>0</v>
      </c>
      <c r="H138" s="321">
        <f t="shared" si="46"/>
        <v>92812.19</v>
      </c>
      <c r="I138" s="425"/>
      <c r="J138" s="422"/>
      <c r="K138" s="374"/>
      <c r="L138" s="308">
        <f t="shared" si="40"/>
        <v>4</v>
      </c>
      <c r="M138" s="426">
        <f t="shared" si="47"/>
        <v>9740.76</v>
      </c>
      <c r="N138" s="426">
        <f t="shared" si="48"/>
        <v>2552.95</v>
      </c>
      <c r="O138" s="426">
        <f t="shared" si="49"/>
        <v>7187.81</v>
      </c>
      <c r="P138" s="308"/>
      <c r="Q138" s="313"/>
    </row>
    <row r="139" spans="2:17" ht="15">
      <c r="B139" s="320">
        <f t="shared" si="43"/>
        <v>5</v>
      </c>
      <c r="C139" s="321">
        <f t="shared" si="44"/>
        <v>92812.19</v>
      </c>
      <c r="D139" s="147">
        <f t="shared" si="41"/>
        <v>2435.19</v>
      </c>
      <c r="E139" s="321">
        <f t="shared" si="42"/>
        <v>608.68</v>
      </c>
      <c r="F139" s="321">
        <f t="shared" si="45"/>
        <v>1826.5100000000002</v>
      </c>
      <c r="G139" s="424">
        <v>0</v>
      </c>
      <c r="H139" s="321">
        <f t="shared" si="46"/>
        <v>90985.68</v>
      </c>
      <c r="I139" s="425"/>
      <c r="J139" s="422"/>
      <c r="K139" s="374"/>
      <c r="L139" s="308">
        <f t="shared" si="40"/>
        <v>5</v>
      </c>
      <c r="M139" s="426">
        <f t="shared" si="47"/>
        <v>12175.95</v>
      </c>
      <c r="N139" s="426">
        <f t="shared" si="48"/>
        <v>3161.6299999999997</v>
      </c>
      <c r="O139" s="426">
        <f t="shared" si="49"/>
        <v>9014.320000000002</v>
      </c>
      <c r="P139" s="308"/>
      <c r="Q139" s="313"/>
    </row>
    <row r="140" spans="2:17" ht="15">
      <c r="B140" s="320">
        <f t="shared" si="43"/>
        <v>6</v>
      </c>
      <c r="C140" s="321">
        <f t="shared" si="44"/>
        <v>90985.68</v>
      </c>
      <c r="D140" s="147">
        <f t="shared" si="41"/>
        <v>2435.19</v>
      </c>
      <c r="E140" s="321">
        <f t="shared" si="42"/>
        <v>596.7</v>
      </c>
      <c r="F140" s="321">
        <f t="shared" si="45"/>
        <v>1838.49</v>
      </c>
      <c r="G140" s="424">
        <v>0</v>
      </c>
      <c r="H140" s="321">
        <f t="shared" si="46"/>
        <v>89147.19</v>
      </c>
      <c r="I140" s="425"/>
      <c r="J140" s="422"/>
      <c r="K140" s="374"/>
      <c r="L140" s="308">
        <f t="shared" si="40"/>
        <v>6</v>
      </c>
      <c r="M140" s="426">
        <f t="shared" si="47"/>
        <v>14611.140000000001</v>
      </c>
      <c r="N140" s="426">
        <f t="shared" si="48"/>
        <v>3758.33</v>
      </c>
      <c r="O140" s="426">
        <f t="shared" si="49"/>
        <v>10852.810000000001</v>
      </c>
      <c r="P140" s="426"/>
      <c r="Q140" s="313"/>
    </row>
    <row r="141" spans="2:17" ht="15">
      <c r="B141" s="320">
        <f t="shared" si="43"/>
        <v>7</v>
      </c>
      <c r="C141" s="321">
        <f t="shared" si="44"/>
        <v>89147.19</v>
      </c>
      <c r="D141" s="147">
        <f t="shared" si="41"/>
        <v>2435.19</v>
      </c>
      <c r="E141" s="321">
        <f t="shared" si="42"/>
        <v>584.64</v>
      </c>
      <c r="F141" s="321">
        <f t="shared" si="45"/>
        <v>1850.5500000000002</v>
      </c>
      <c r="G141" s="424">
        <v>0</v>
      </c>
      <c r="H141" s="321">
        <f t="shared" si="46"/>
        <v>87296.64</v>
      </c>
      <c r="I141" s="425"/>
      <c r="J141" s="422"/>
      <c r="K141" s="374"/>
      <c r="L141" s="308">
        <f t="shared" si="40"/>
        <v>7</v>
      </c>
      <c r="M141" s="426">
        <f t="shared" si="47"/>
        <v>17046.33</v>
      </c>
      <c r="N141" s="426">
        <f t="shared" si="48"/>
        <v>4342.97</v>
      </c>
      <c r="O141" s="426">
        <f t="shared" si="49"/>
        <v>12703.36</v>
      </c>
      <c r="P141" s="374"/>
      <c r="Q141" s="427"/>
    </row>
    <row r="142" spans="2:17" ht="15">
      <c r="B142" s="320">
        <f t="shared" si="43"/>
        <v>8</v>
      </c>
      <c r="C142" s="321">
        <f t="shared" si="44"/>
        <v>87296.64</v>
      </c>
      <c r="D142" s="147">
        <f t="shared" si="41"/>
        <v>2435.19</v>
      </c>
      <c r="E142" s="321">
        <f t="shared" si="42"/>
        <v>572.51</v>
      </c>
      <c r="F142" s="321">
        <f t="shared" si="45"/>
        <v>1862.68</v>
      </c>
      <c r="G142" s="424">
        <v>0</v>
      </c>
      <c r="H142" s="321">
        <f t="shared" si="46"/>
        <v>85433.96</v>
      </c>
      <c r="I142" s="425"/>
      <c r="J142" s="422"/>
      <c r="K142" s="374"/>
      <c r="L142" s="308">
        <f t="shared" si="40"/>
        <v>8</v>
      </c>
      <c r="M142" s="426">
        <f t="shared" si="47"/>
        <v>19481.52</v>
      </c>
      <c r="N142" s="426">
        <f t="shared" si="48"/>
        <v>4915.4800000000005</v>
      </c>
      <c r="O142" s="426">
        <f t="shared" si="49"/>
        <v>14566.04</v>
      </c>
      <c r="P142" s="374"/>
      <c r="Q142" s="427"/>
    </row>
    <row r="143" spans="2:17" ht="15">
      <c r="B143" s="320">
        <f t="shared" si="43"/>
        <v>9</v>
      </c>
      <c r="C143" s="321">
        <f t="shared" si="44"/>
        <v>85433.96</v>
      </c>
      <c r="D143" s="147">
        <f t="shared" si="41"/>
        <v>2435.19</v>
      </c>
      <c r="E143" s="321">
        <f t="shared" si="42"/>
        <v>560.29</v>
      </c>
      <c r="F143" s="321">
        <f t="shared" si="45"/>
        <v>1874.9</v>
      </c>
      <c r="G143" s="424">
        <v>0</v>
      </c>
      <c r="H143" s="321">
        <f t="shared" si="46"/>
        <v>83559.06</v>
      </c>
      <c r="I143" s="425"/>
      <c r="J143" s="422"/>
      <c r="K143" s="374"/>
      <c r="L143" s="308">
        <f t="shared" si="40"/>
        <v>9</v>
      </c>
      <c r="M143" s="426">
        <f t="shared" si="47"/>
        <v>21916.71</v>
      </c>
      <c r="N143" s="426">
        <f t="shared" si="48"/>
        <v>5475.77</v>
      </c>
      <c r="O143" s="426">
        <f t="shared" si="49"/>
        <v>16440.94</v>
      </c>
      <c r="P143" s="374"/>
      <c r="Q143" s="427"/>
    </row>
    <row r="144" spans="2:17" ht="15">
      <c r="B144" s="320">
        <f t="shared" si="43"/>
        <v>10</v>
      </c>
      <c r="C144" s="321">
        <f t="shared" si="44"/>
        <v>83559.06</v>
      </c>
      <c r="D144" s="147">
        <f t="shared" si="41"/>
        <v>2435.19</v>
      </c>
      <c r="E144" s="321">
        <f t="shared" si="42"/>
        <v>548</v>
      </c>
      <c r="F144" s="321">
        <f t="shared" si="45"/>
        <v>1887.19</v>
      </c>
      <c r="G144" s="424">
        <v>0</v>
      </c>
      <c r="H144" s="321">
        <f t="shared" si="46"/>
        <v>81671.87</v>
      </c>
      <c r="I144" s="425"/>
      <c r="J144" s="422"/>
      <c r="K144" s="374"/>
      <c r="L144" s="308">
        <f t="shared" si="40"/>
        <v>10</v>
      </c>
      <c r="M144" s="426">
        <f t="shared" si="47"/>
        <v>24351.899999999998</v>
      </c>
      <c r="N144" s="426">
        <f t="shared" si="48"/>
        <v>6023.77</v>
      </c>
      <c r="O144" s="426">
        <f t="shared" si="49"/>
        <v>18328.129999999997</v>
      </c>
      <c r="P144" s="374"/>
      <c r="Q144" s="427"/>
    </row>
    <row r="145" spans="2:17" ht="15">
      <c r="B145" s="320">
        <f t="shared" si="43"/>
        <v>11</v>
      </c>
      <c r="C145" s="321">
        <f t="shared" si="44"/>
        <v>81671.87</v>
      </c>
      <c r="D145" s="147">
        <f t="shared" si="41"/>
        <v>2435.19</v>
      </c>
      <c r="E145" s="321">
        <f t="shared" si="42"/>
        <v>535.62</v>
      </c>
      <c r="F145" s="321">
        <f t="shared" si="45"/>
        <v>1899.5700000000002</v>
      </c>
      <c r="G145" s="424">
        <v>0</v>
      </c>
      <c r="H145" s="321">
        <f t="shared" si="46"/>
        <v>79772.3</v>
      </c>
      <c r="I145" s="425"/>
      <c r="J145" s="422"/>
      <c r="K145" s="374"/>
      <c r="L145" s="308">
        <f t="shared" si="40"/>
        <v>11</v>
      </c>
      <c r="M145" s="426">
        <f t="shared" si="47"/>
        <v>26787.089999999997</v>
      </c>
      <c r="N145" s="426">
        <f t="shared" si="48"/>
        <v>6559.39</v>
      </c>
      <c r="O145" s="426">
        <f t="shared" si="49"/>
        <v>20227.699999999997</v>
      </c>
      <c r="P145" s="374"/>
      <c r="Q145" s="427"/>
    </row>
    <row r="146" spans="2:17" ht="15">
      <c r="B146" s="320">
        <f t="shared" si="43"/>
        <v>12</v>
      </c>
      <c r="C146" s="321">
        <f t="shared" si="44"/>
        <v>79772.3</v>
      </c>
      <c r="D146" s="147">
        <f t="shared" si="41"/>
        <v>2435.19</v>
      </c>
      <c r="E146" s="321">
        <f t="shared" si="42"/>
        <v>523.16</v>
      </c>
      <c r="F146" s="321">
        <f t="shared" si="45"/>
        <v>1912.0300000000002</v>
      </c>
      <c r="G146" s="424">
        <v>0</v>
      </c>
      <c r="H146" s="321">
        <f t="shared" si="46"/>
        <v>77860.27</v>
      </c>
      <c r="I146" s="425"/>
      <c r="J146" s="422"/>
      <c r="K146" s="374"/>
      <c r="L146" s="308">
        <f t="shared" si="40"/>
        <v>12</v>
      </c>
      <c r="M146" s="426">
        <f t="shared" si="47"/>
        <v>29222.279999999995</v>
      </c>
      <c r="N146" s="426">
        <f t="shared" si="48"/>
        <v>7082.55</v>
      </c>
      <c r="O146" s="426">
        <f t="shared" si="49"/>
        <v>22139.729999999996</v>
      </c>
      <c r="P146" s="374"/>
      <c r="Q146" s="427"/>
    </row>
    <row r="147" spans="2:17" ht="15">
      <c r="B147" s="320">
        <f t="shared" si="43"/>
        <v>13</v>
      </c>
      <c r="C147" s="321">
        <f t="shared" si="44"/>
        <v>77860.27</v>
      </c>
      <c r="D147" s="147">
        <f t="shared" si="41"/>
        <v>2435.19</v>
      </c>
      <c r="E147" s="321">
        <f t="shared" si="42"/>
        <v>510.62</v>
      </c>
      <c r="F147" s="321">
        <f t="shared" si="45"/>
        <v>1924.5700000000002</v>
      </c>
      <c r="G147" s="424">
        <v>0</v>
      </c>
      <c r="H147" s="321">
        <f t="shared" si="46"/>
        <v>75935.7</v>
      </c>
      <c r="I147" s="425"/>
      <c r="J147" s="422"/>
      <c r="K147" s="374"/>
      <c r="L147" s="308">
        <f t="shared" si="40"/>
        <v>13</v>
      </c>
      <c r="M147" s="426">
        <f t="shared" si="47"/>
        <v>31657.469999999994</v>
      </c>
      <c r="N147" s="426">
        <f t="shared" si="48"/>
        <v>7593.17</v>
      </c>
      <c r="O147" s="426">
        <f t="shared" si="49"/>
        <v>24064.299999999996</v>
      </c>
      <c r="P147" s="374"/>
      <c r="Q147" s="427"/>
    </row>
    <row r="148" spans="2:17" ht="15">
      <c r="B148" s="320">
        <f t="shared" si="43"/>
        <v>14</v>
      </c>
      <c r="C148" s="321">
        <f t="shared" si="44"/>
        <v>75935.7</v>
      </c>
      <c r="D148" s="147">
        <f t="shared" si="41"/>
        <v>2435.19</v>
      </c>
      <c r="E148" s="321">
        <f t="shared" si="42"/>
        <v>498</v>
      </c>
      <c r="F148" s="321">
        <f t="shared" si="45"/>
        <v>1937.19</v>
      </c>
      <c r="G148" s="424">
        <v>0</v>
      </c>
      <c r="H148" s="321">
        <f t="shared" si="46"/>
        <v>73998.51</v>
      </c>
      <c r="I148" s="425"/>
      <c r="J148" s="422"/>
      <c r="K148" s="374"/>
      <c r="L148" s="308">
        <f t="shared" si="40"/>
        <v>14</v>
      </c>
      <c r="M148" s="426">
        <f t="shared" si="47"/>
        <v>34092.659999999996</v>
      </c>
      <c r="N148" s="426">
        <f t="shared" si="48"/>
        <v>8091.17</v>
      </c>
      <c r="O148" s="426">
        <f t="shared" si="49"/>
        <v>26001.489999999998</v>
      </c>
      <c r="P148" s="374"/>
      <c r="Q148" s="427"/>
    </row>
    <row r="149" spans="2:17" ht="15">
      <c r="B149" s="320">
        <f t="shared" si="43"/>
        <v>15</v>
      </c>
      <c r="C149" s="321">
        <f t="shared" si="44"/>
        <v>73998.51</v>
      </c>
      <c r="D149" s="147">
        <f t="shared" si="41"/>
        <v>2435.19</v>
      </c>
      <c r="E149" s="321">
        <f t="shared" si="42"/>
        <v>485.3</v>
      </c>
      <c r="F149" s="321">
        <f t="shared" si="45"/>
        <v>1949.89</v>
      </c>
      <c r="G149" s="424">
        <v>0</v>
      </c>
      <c r="H149" s="321">
        <f t="shared" si="46"/>
        <v>72048.62</v>
      </c>
      <c r="I149" s="425"/>
      <c r="J149" s="422"/>
      <c r="K149" s="374"/>
      <c r="L149" s="308">
        <f t="shared" si="40"/>
        <v>15</v>
      </c>
      <c r="M149" s="426">
        <f t="shared" si="47"/>
        <v>36527.85</v>
      </c>
      <c r="N149" s="426">
        <f t="shared" si="48"/>
        <v>8576.47</v>
      </c>
      <c r="O149" s="426">
        <f t="shared" si="49"/>
        <v>27951.379999999997</v>
      </c>
      <c r="P149" s="374"/>
      <c r="Q149" s="427"/>
    </row>
    <row r="150" spans="2:17" ht="15">
      <c r="B150" s="320">
        <f t="shared" si="43"/>
        <v>16</v>
      </c>
      <c r="C150" s="321">
        <f t="shared" si="44"/>
        <v>72048.62</v>
      </c>
      <c r="D150" s="147">
        <f t="shared" si="41"/>
        <v>2435.19</v>
      </c>
      <c r="E150" s="321">
        <f t="shared" si="42"/>
        <v>472.51</v>
      </c>
      <c r="F150" s="321">
        <f t="shared" si="45"/>
        <v>1962.68</v>
      </c>
      <c r="G150" s="424">
        <v>0</v>
      </c>
      <c r="H150" s="321">
        <f t="shared" si="46"/>
        <v>70085.94</v>
      </c>
      <c r="I150" s="425"/>
      <c r="J150" s="422"/>
      <c r="K150" s="374"/>
      <c r="L150" s="308">
        <f t="shared" si="40"/>
        <v>16</v>
      </c>
      <c r="M150" s="426">
        <f t="shared" si="47"/>
        <v>38963.04</v>
      </c>
      <c r="N150" s="426">
        <f t="shared" si="48"/>
        <v>9048.98</v>
      </c>
      <c r="O150" s="426">
        <f t="shared" si="49"/>
        <v>29914.06</v>
      </c>
      <c r="P150" s="374"/>
      <c r="Q150" s="427"/>
    </row>
    <row r="151" spans="2:17" ht="15">
      <c r="B151" s="320">
        <f t="shared" si="43"/>
        <v>17</v>
      </c>
      <c r="C151" s="321">
        <f t="shared" si="44"/>
        <v>70085.94</v>
      </c>
      <c r="D151" s="147">
        <f t="shared" si="41"/>
        <v>2435.19</v>
      </c>
      <c r="E151" s="321">
        <f t="shared" si="42"/>
        <v>459.64</v>
      </c>
      <c r="F151" s="321">
        <f t="shared" si="45"/>
        <v>1975.5500000000002</v>
      </c>
      <c r="G151" s="424">
        <v>0</v>
      </c>
      <c r="H151" s="321">
        <f t="shared" si="46"/>
        <v>68110.39</v>
      </c>
      <c r="I151" s="425"/>
      <c r="J151" s="422"/>
      <c r="K151" s="374"/>
      <c r="L151" s="308">
        <f t="shared" si="40"/>
        <v>17</v>
      </c>
      <c r="M151" s="426">
        <f t="shared" si="47"/>
        <v>41398.23</v>
      </c>
      <c r="N151" s="426">
        <f t="shared" si="48"/>
        <v>9508.619999999999</v>
      </c>
      <c r="O151" s="426">
        <f t="shared" si="49"/>
        <v>31889.610000000004</v>
      </c>
      <c r="P151" s="374"/>
      <c r="Q151" s="427"/>
    </row>
    <row r="152" spans="2:17" ht="15">
      <c r="B152" s="320">
        <f t="shared" si="43"/>
        <v>18</v>
      </c>
      <c r="C152" s="321">
        <f t="shared" si="44"/>
        <v>68110.39</v>
      </c>
      <c r="D152" s="147">
        <f t="shared" si="41"/>
        <v>2435.19</v>
      </c>
      <c r="E152" s="321">
        <f t="shared" si="42"/>
        <v>446.68</v>
      </c>
      <c r="F152" s="321">
        <f t="shared" si="45"/>
        <v>1988.51</v>
      </c>
      <c r="G152" s="424">
        <v>0</v>
      </c>
      <c r="H152" s="321">
        <f t="shared" si="46"/>
        <v>66121.88</v>
      </c>
      <c r="I152" s="425"/>
      <c r="J152" s="422"/>
      <c r="K152" s="374"/>
      <c r="L152" s="308">
        <f t="shared" si="40"/>
        <v>18</v>
      </c>
      <c r="M152" s="426">
        <f t="shared" si="47"/>
        <v>43833.420000000006</v>
      </c>
      <c r="N152" s="426">
        <f t="shared" si="48"/>
        <v>9955.3</v>
      </c>
      <c r="O152" s="426">
        <f t="shared" si="49"/>
        <v>33878.12000000001</v>
      </c>
      <c r="P152" s="374"/>
      <c r="Q152" s="427"/>
    </row>
    <row r="153" spans="2:17" ht="15">
      <c r="B153" s="320">
        <f t="shared" si="43"/>
        <v>19</v>
      </c>
      <c r="C153" s="321">
        <f t="shared" si="44"/>
        <v>66121.88</v>
      </c>
      <c r="D153" s="147">
        <f t="shared" si="41"/>
        <v>2435.19</v>
      </c>
      <c r="E153" s="321">
        <f t="shared" si="42"/>
        <v>433.64</v>
      </c>
      <c r="F153" s="321">
        <f t="shared" si="45"/>
        <v>2001.5500000000002</v>
      </c>
      <c r="G153" s="424">
        <v>0</v>
      </c>
      <c r="H153" s="321">
        <f t="shared" si="46"/>
        <v>64120.33</v>
      </c>
      <c r="I153" s="425"/>
      <c r="J153" s="422"/>
      <c r="K153" s="374"/>
      <c r="L153" s="308">
        <f t="shared" si="40"/>
        <v>19</v>
      </c>
      <c r="M153" s="426">
        <f t="shared" si="47"/>
        <v>46268.61000000001</v>
      </c>
      <c r="N153" s="426">
        <f t="shared" si="48"/>
        <v>10388.939999999999</v>
      </c>
      <c r="O153" s="426">
        <f t="shared" si="49"/>
        <v>35879.67000000001</v>
      </c>
      <c r="P153" s="374"/>
      <c r="Q153" s="427"/>
    </row>
    <row r="154" spans="2:17" ht="15">
      <c r="B154" s="320">
        <f t="shared" si="43"/>
        <v>20</v>
      </c>
      <c r="C154" s="321">
        <f t="shared" si="44"/>
        <v>64120.33</v>
      </c>
      <c r="D154" s="147">
        <f t="shared" si="41"/>
        <v>2435.19</v>
      </c>
      <c r="E154" s="321">
        <f t="shared" si="42"/>
        <v>420.51</v>
      </c>
      <c r="F154" s="321">
        <f t="shared" si="45"/>
        <v>2014.68</v>
      </c>
      <c r="G154" s="424">
        <v>0</v>
      </c>
      <c r="H154" s="321">
        <f t="shared" si="46"/>
        <v>62105.65</v>
      </c>
      <c r="I154" s="425"/>
      <c r="J154" s="422"/>
      <c r="K154" s="374"/>
      <c r="L154" s="308">
        <f t="shared" si="40"/>
        <v>20</v>
      </c>
      <c r="M154" s="426">
        <f t="shared" si="47"/>
        <v>48703.80000000001</v>
      </c>
      <c r="N154" s="426">
        <f t="shared" si="48"/>
        <v>10809.449999999999</v>
      </c>
      <c r="O154" s="426">
        <f t="shared" si="49"/>
        <v>37894.35000000001</v>
      </c>
      <c r="P154" s="374"/>
      <c r="Q154" s="427"/>
    </row>
    <row r="155" spans="2:17" ht="15">
      <c r="B155" s="320">
        <f t="shared" si="43"/>
        <v>21</v>
      </c>
      <c r="C155" s="321">
        <f t="shared" si="44"/>
        <v>62105.65</v>
      </c>
      <c r="D155" s="147">
        <f t="shared" si="41"/>
        <v>2435.19</v>
      </c>
      <c r="E155" s="321">
        <f t="shared" si="42"/>
        <v>407.3</v>
      </c>
      <c r="F155" s="321">
        <f t="shared" si="45"/>
        <v>2027.89</v>
      </c>
      <c r="G155" s="424">
        <v>0</v>
      </c>
      <c r="H155" s="321">
        <f t="shared" si="46"/>
        <v>60077.76</v>
      </c>
      <c r="I155" s="425"/>
      <c r="J155" s="422"/>
      <c r="K155" s="374"/>
      <c r="L155" s="308">
        <f t="shared" si="40"/>
        <v>21</v>
      </c>
      <c r="M155" s="426">
        <f t="shared" si="47"/>
        <v>51138.99000000001</v>
      </c>
      <c r="N155" s="426">
        <f t="shared" si="48"/>
        <v>11216.749999999998</v>
      </c>
      <c r="O155" s="426">
        <f t="shared" si="49"/>
        <v>39922.24000000001</v>
      </c>
      <c r="P155" s="374"/>
      <c r="Q155" s="427"/>
    </row>
    <row r="156" spans="2:17" ht="15">
      <c r="B156" s="320">
        <f t="shared" si="43"/>
        <v>22</v>
      </c>
      <c r="C156" s="321">
        <f t="shared" si="44"/>
        <v>60077.76</v>
      </c>
      <c r="D156" s="147">
        <f t="shared" si="41"/>
        <v>2435.19</v>
      </c>
      <c r="E156" s="321">
        <f t="shared" si="42"/>
        <v>394</v>
      </c>
      <c r="F156" s="321">
        <f t="shared" si="45"/>
        <v>2041.19</v>
      </c>
      <c r="G156" s="424">
        <v>0</v>
      </c>
      <c r="H156" s="321">
        <f t="shared" si="46"/>
        <v>58036.57</v>
      </c>
      <c r="I156" s="425"/>
      <c r="J156" s="422"/>
      <c r="K156" s="374"/>
      <c r="L156" s="308">
        <f t="shared" si="40"/>
        <v>22</v>
      </c>
      <c r="M156" s="426">
        <f t="shared" si="47"/>
        <v>53574.180000000015</v>
      </c>
      <c r="N156" s="426">
        <f t="shared" si="48"/>
        <v>11610.749999999998</v>
      </c>
      <c r="O156" s="426">
        <f t="shared" si="49"/>
        <v>41963.430000000015</v>
      </c>
      <c r="P156" s="374"/>
      <c r="Q156" s="427"/>
    </row>
    <row r="157" spans="2:17" ht="15">
      <c r="B157" s="320">
        <f t="shared" si="43"/>
        <v>23</v>
      </c>
      <c r="C157" s="321">
        <f t="shared" si="44"/>
        <v>58036.57</v>
      </c>
      <c r="D157" s="147">
        <f t="shared" si="41"/>
        <v>2435.19</v>
      </c>
      <c r="E157" s="321">
        <f t="shared" si="42"/>
        <v>380.62</v>
      </c>
      <c r="F157" s="321">
        <f t="shared" si="45"/>
        <v>2054.57</v>
      </c>
      <c r="G157" s="424">
        <v>0</v>
      </c>
      <c r="H157" s="321">
        <f t="shared" si="46"/>
        <v>55982</v>
      </c>
      <c r="I157" s="425"/>
      <c r="J157" s="422"/>
      <c r="K157" s="374"/>
      <c r="L157" s="308">
        <f t="shared" si="40"/>
        <v>23</v>
      </c>
      <c r="M157" s="426">
        <f t="shared" si="47"/>
        <v>56009.37000000002</v>
      </c>
      <c r="N157" s="426">
        <f t="shared" si="48"/>
        <v>11991.369999999999</v>
      </c>
      <c r="O157" s="426">
        <f t="shared" si="49"/>
        <v>44018.000000000015</v>
      </c>
      <c r="P157" s="374"/>
      <c r="Q157" s="427"/>
    </row>
    <row r="158" spans="2:17" ht="15">
      <c r="B158" s="320">
        <f t="shared" si="43"/>
        <v>24</v>
      </c>
      <c r="C158" s="321">
        <f t="shared" si="44"/>
        <v>55982</v>
      </c>
      <c r="D158" s="147">
        <f t="shared" si="41"/>
        <v>2435.19</v>
      </c>
      <c r="E158" s="321">
        <f t="shared" si="42"/>
        <v>367.14</v>
      </c>
      <c r="F158" s="321">
        <f t="shared" si="45"/>
        <v>2068.05</v>
      </c>
      <c r="G158" s="424">
        <v>0</v>
      </c>
      <c r="H158" s="321">
        <f t="shared" si="46"/>
        <v>53913.95</v>
      </c>
      <c r="I158" s="425"/>
      <c r="J158" s="422"/>
      <c r="K158" s="374"/>
      <c r="L158" s="308">
        <f t="shared" si="40"/>
        <v>24</v>
      </c>
      <c r="M158" s="426">
        <f t="shared" si="47"/>
        <v>58444.56000000002</v>
      </c>
      <c r="N158" s="426">
        <f t="shared" si="48"/>
        <v>12358.509999999998</v>
      </c>
      <c r="O158" s="426">
        <f t="shared" si="49"/>
        <v>46086.05000000002</v>
      </c>
      <c r="P158" s="374"/>
      <c r="Q158" s="427"/>
    </row>
    <row r="159" spans="2:17" ht="15">
      <c r="B159" s="320">
        <f t="shared" si="43"/>
        <v>25</v>
      </c>
      <c r="C159" s="321">
        <f t="shared" si="44"/>
        <v>53913.95</v>
      </c>
      <c r="D159" s="147">
        <f t="shared" si="41"/>
        <v>2435.19</v>
      </c>
      <c r="E159" s="321">
        <f t="shared" si="42"/>
        <v>353.58</v>
      </c>
      <c r="F159" s="321">
        <f t="shared" si="45"/>
        <v>2081.61</v>
      </c>
      <c r="G159" s="424">
        <v>0</v>
      </c>
      <c r="H159" s="321">
        <f t="shared" si="46"/>
        <v>51832.34</v>
      </c>
      <c r="I159" s="425"/>
      <c r="J159" s="422"/>
      <c r="K159" s="374"/>
      <c r="L159" s="308">
        <f t="shared" si="40"/>
        <v>25</v>
      </c>
      <c r="M159" s="426">
        <f t="shared" si="47"/>
        <v>60879.75000000002</v>
      </c>
      <c r="N159" s="426">
        <f t="shared" si="48"/>
        <v>12712.089999999998</v>
      </c>
      <c r="O159" s="426">
        <f t="shared" si="49"/>
        <v>48167.660000000025</v>
      </c>
      <c r="P159" s="374"/>
      <c r="Q159" s="427"/>
    </row>
    <row r="160" spans="2:17" ht="15">
      <c r="B160" s="320">
        <f t="shared" si="43"/>
        <v>26</v>
      </c>
      <c r="C160" s="321">
        <f t="shared" si="44"/>
        <v>51832.34</v>
      </c>
      <c r="D160" s="147">
        <f t="shared" si="41"/>
        <v>2435.19</v>
      </c>
      <c r="E160" s="321">
        <f t="shared" si="42"/>
        <v>339.93</v>
      </c>
      <c r="F160" s="321">
        <f t="shared" si="45"/>
        <v>2095.26</v>
      </c>
      <c r="G160" s="424">
        <v>0</v>
      </c>
      <c r="H160" s="321">
        <f t="shared" si="46"/>
        <v>49737.08</v>
      </c>
      <c r="I160" s="425"/>
      <c r="J160" s="422"/>
      <c r="K160" s="374"/>
      <c r="L160" s="308">
        <f t="shared" si="40"/>
        <v>26</v>
      </c>
      <c r="M160" s="426">
        <f t="shared" si="47"/>
        <v>63314.940000000024</v>
      </c>
      <c r="N160" s="426">
        <f t="shared" si="48"/>
        <v>13052.019999999999</v>
      </c>
      <c r="O160" s="426">
        <f t="shared" si="49"/>
        <v>50262.92000000003</v>
      </c>
      <c r="P160" s="374"/>
      <c r="Q160" s="427"/>
    </row>
    <row r="161" spans="2:17" ht="15">
      <c r="B161" s="320">
        <f t="shared" si="43"/>
        <v>27</v>
      </c>
      <c r="C161" s="321">
        <f t="shared" si="44"/>
        <v>49737.08</v>
      </c>
      <c r="D161" s="147">
        <f t="shared" si="41"/>
        <v>2435.19</v>
      </c>
      <c r="E161" s="321">
        <f t="shared" si="42"/>
        <v>326.19</v>
      </c>
      <c r="F161" s="321">
        <f t="shared" si="45"/>
        <v>2109</v>
      </c>
      <c r="G161" s="424">
        <v>0</v>
      </c>
      <c r="H161" s="321">
        <f t="shared" si="46"/>
        <v>47628.08</v>
      </c>
      <c r="I161" s="425"/>
      <c r="J161" s="422"/>
      <c r="K161" s="374"/>
      <c r="L161" s="308">
        <f t="shared" si="40"/>
        <v>27</v>
      </c>
      <c r="M161" s="426">
        <f t="shared" si="47"/>
        <v>65750.13000000002</v>
      </c>
      <c r="N161" s="426">
        <f t="shared" si="48"/>
        <v>13378.21</v>
      </c>
      <c r="O161" s="426">
        <f t="shared" si="49"/>
        <v>52371.92000000002</v>
      </c>
      <c r="P161" s="374"/>
      <c r="Q161" s="427"/>
    </row>
    <row r="162" spans="2:17" ht="15">
      <c r="B162" s="320">
        <f t="shared" si="43"/>
        <v>28</v>
      </c>
      <c r="C162" s="321">
        <f t="shared" si="44"/>
        <v>47628.08</v>
      </c>
      <c r="D162" s="147">
        <f t="shared" si="41"/>
        <v>2435.19</v>
      </c>
      <c r="E162" s="321">
        <f t="shared" si="42"/>
        <v>312.35</v>
      </c>
      <c r="F162" s="321">
        <f t="shared" si="45"/>
        <v>2122.84</v>
      </c>
      <c r="G162" s="424">
        <v>0</v>
      </c>
      <c r="H162" s="321">
        <f t="shared" si="46"/>
        <v>45505.24</v>
      </c>
      <c r="I162" s="425"/>
      <c r="J162" s="422"/>
      <c r="K162" s="374"/>
      <c r="L162" s="308">
        <f t="shared" si="40"/>
        <v>28</v>
      </c>
      <c r="M162" s="426">
        <f t="shared" si="47"/>
        <v>68185.32000000002</v>
      </c>
      <c r="N162" s="426">
        <f t="shared" si="48"/>
        <v>13690.56</v>
      </c>
      <c r="O162" s="426">
        <f t="shared" si="49"/>
        <v>54494.760000000024</v>
      </c>
      <c r="P162" s="374"/>
      <c r="Q162" s="427"/>
    </row>
    <row r="163" spans="2:17" ht="15">
      <c r="B163" s="320">
        <f t="shared" si="43"/>
        <v>29</v>
      </c>
      <c r="C163" s="321">
        <f t="shared" si="44"/>
        <v>45505.24</v>
      </c>
      <c r="D163" s="147">
        <f t="shared" si="41"/>
        <v>2435.19</v>
      </c>
      <c r="E163" s="321">
        <f t="shared" si="42"/>
        <v>298.43</v>
      </c>
      <c r="F163" s="321">
        <f t="shared" si="45"/>
        <v>2136.76</v>
      </c>
      <c r="G163" s="424">
        <v>0</v>
      </c>
      <c r="H163" s="321">
        <f t="shared" si="46"/>
        <v>43368.48</v>
      </c>
      <c r="I163" s="425"/>
      <c r="J163" s="422"/>
      <c r="K163" s="374"/>
      <c r="L163" s="308">
        <f t="shared" si="40"/>
        <v>29</v>
      </c>
      <c r="M163" s="426">
        <f t="shared" si="47"/>
        <v>70620.51000000002</v>
      </c>
      <c r="N163" s="426">
        <f t="shared" si="48"/>
        <v>13988.99</v>
      </c>
      <c r="O163" s="426">
        <f t="shared" si="49"/>
        <v>56631.520000000026</v>
      </c>
      <c r="P163" s="374"/>
      <c r="Q163" s="427"/>
    </row>
    <row r="164" spans="2:17" ht="15">
      <c r="B164" s="320">
        <f t="shared" si="43"/>
        <v>30</v>
      </c>
      <c r="C164" s="321">
        <f t="shared" si="44"/>
        <v>43368.48</v>
      </c>
      <c r="D164" s="147">
        <f t="shared" si="41"/>
        <v>2435.19</v>
      </c>
      <c r="E164" s="321">
        <f t="shared" si="42"/>
        <v>284.42</v>
      </c>
      <c r="F164" s="321">
        <f t="shared" si="45"/>
        <v>2150.77</v>
      </c>
      <c r="G164" s="424">
        <v>0</v>
      </c>
      <c r="H164" s="321">
        <f t="shared" si="46"/>
        <v>41217.71</v>
      </c>
      <c r="I164" s="425"/>
      <c r="J164" s="422"/>
      <c r="K164" s="374"/>
      <c r="L164" s="308">
        <f t="shared" si="40"/>
        <v>30</v>
      </c>
      <c r="M164" s="426">
        <f t="shared" si="47"/>
        <v>73055.70000000003</v>
      </c>
      <c r="N164" s="426">
        <f t="shared" si="48"/>
        <v>14273.41</v>
      </c>
      <c r="O164" s="426">
        <f t="shared" si="49"/>
        <v>58782.29000000002</v>
      </c>
      <c r="P164" s="374"/>
      <c r="Q164" s="427"/>
    </row>
    <row r="165" spans="2:17" ht="15">
      <c r="B165" s="320">
        <f t="shared" si="43"/>
        <v>31</v>
      </c>
      <c r="C165" s="321">
        <f t="shared" si="44"/>
        <v>41217.71</v>
      </c>
      <c r="D165" s="147">
        <f t="shared" si="41"/>
        <v>2435.19</v>
      </c>
      <c r="E165" s="321">
        <f t="shared" si="42"/>
        <v>270.31</v>
      </c>
      <c r="F165" s="321">
        <f t="shared" si="45"/>
        <v>2164.88</v>
      </c>
      <c r="G165" s="424">
        <v>0</v>
      </c>
      <c r="H165" s="321">
        <f t="shared" si="46"/>
        <v>39052.83</v>
      </c>
      <c r="I165" s="425"/>
      <c r="J165" s="422"/>
      <c r="K165" s="374"/>
      <c r="L165" s="308">
        <f t="shared" si="40"/>
        <v>31</v>
      </c>
      <c r="M165" s="426">
        <f t="shared" si="47"/>
        <v>75490.89000000003</v>
      </c>
      <c r="N165" s="426">
        <f t="shared" si="48"/>
        <v>14543.72</v>
      </c>
      <c r="O165" s="426">
        <f t="shared" si="49"/>
        <v>60947.17000000003</v>
      </c>
      <c r="P165" s="374"/>
      <c r="Q165" s="427"/>
    </row>
    <row r="166" spans="2:17" ht="15">
      <c r="B166" s="320">
        <f t="shared" si="43"/>
        <v>32</v>
      </c>
      <c r="C166" s="321">
        <f t="shared" si="44"/>
        <v>39052.83</v>
      </c>
      <c r="D166" s="147">
        <f t="shared" si="41"/>
        <v>2435.19</v>
      </c>
      <c r="E166" s="321">
        <f t="shared" si="42"/>
        <v>256.12</v>
      </c>
      <c r="F166" s="321">
        <f t="shared" si="45"/>
        <v>2179.07</v>
      </c>
      <c r="G166" s="424">
        <v>0</v>
      </c>
      <c r="H166" s="321">
        <f t="shared" si="46"/>
        <v>36873.76</v>
      </c>
      <c r="I166" s="425"/>
      <c r="J166" s="422"/>
      <c r="K166" s="374"/>
      <c r="L166" s="308">
        <f t="shared" si="40"/>
        <v>32</v>
      </c>
      <c r="M166" s="426">
        <f t="shared" si="47"/>
        <v>77926.08000000003</v>
      </c>
      <c r="N166" s="426">
        <f t="shared" si="48"/>
        <v>14799.84</v>
      </c>
      <c r="O166" s="426">
        <f t="shared" si="49"/>
        <v>63126.240000000034</v>
      </c>
      <c r="P166" s="374"/>
      <c r="Q166" s="427"/>
    </row>
    <row r="167" spans="2:17" ht="15">
      <c r="B167" s="320">
        <f t="shared" si="43"/>
        <v>33</v>
      </c>
      <c r="C167" s="321">
        <f t="shared" si="44"/>
        <v>36873.76</v>
      </c>
      <c r="D167" s="147">
        <f t="shared" si="41"/>
        <v>2435.19</v>
      </c>
      <c r="E167" s="321">
        <f t="shared" si="42"/>
        <v>241.83</v>
      </c>
      <c r="F167" s="321">
        <f t="shared" si="45"/>
        <v>2193.36</v>
      </c>
      <c r="G167" s="424">
        <v>0</v>
      </c>
      <c r="H167" s="321">
        <f t="shared" si="46"/>
        <v>34680.4</v>
      </c>
      <c r="I167" s="425"/>
      <c r="J167" s="422"/>
      <c r="K167" s="374"/>
      <c r="L167" s="308">
        <f t="shared" si="40"/>
        <v>33</v>
      </c>
      <c r="M167" s="426">
        <f t="shared" si="47"/>
        <v>80361.27000000003</v>
      </c>
      <c r="N167" s="426">
        <f t="shared" si="48"/>
        <v>15041.67</v>
      </c>
      <c r="O167" s="426">
        <f t="shared" si="49"/>
        <v>65319.600000000035</v>
      </c>
      <c r="P167" s="374"/>
      <c r="Q167" s="427"/>
    </row>
    <row r="168" spans="2:17" ht="15">
      <c r="B168" s="320">
        <f t="shared" si="43"/>
        <v>34</v>
      </c>
      <c r="C168" s="321">
        <f t="shared" si="44"/>
        <v>34680.4</v>
      </c>
      <c r="D168" s="147">
        <f aca="true" t="shared" si="50" ref="D168:D199">IF(H167=0,"",ROUND(IF(C168+E168&lt;$G$124,C168+E168,$G$124),2))</f>
        <v>2435.19</v>
      </c>
      <c r="E168" s="321">
        <f aca="true" t="shared" si="51" ref="E168:E199">IF(H167=0,"",ROUND(((1+($E$125/($E$128)))^($E$128/$E$127)-1)*C168,2))</f>
        <v>227.44</v>
      </c>
      <c r="F168" s="321">
        <f t="shared" si="45"/>
        <v>2207.75</v>
      </c>
      <c r="G168" s="424">
        <v>0</v>
      </c>
      <c r="H168" s="321">
        <f t="shared" si="46"/>
        <v>32472.65</v>
      </c>
      <c r="I168" s="425"/>
      <c r="J168" s="422"/>
      <c r="K168" s="374"/>
      <c r="L168" s="308">
        <f t="shared" si="40"/>
        <v>34</v>
      </c>
      <c r="M168" s="426">
        <f t="shared" si="47"/>
        <v>82796.46000000004</v>
      </c>
      <c r="N168" s="426">
        <f t="shared" si="48"/>
        <v>15269.11</v>
      </c>
      <c r="O168" s="426">
        <f t="shared" si="49"/>
        <v>67527.35000000003</v>
      </c>
      <c r="P168" s="374"/>
      <c r="Q168" s="427"/>
    </row>
    <row r="169" spans="2:17" ht="15">
      <c r="B169" s="320">
        <f t="shared" si="43"/>
        <v>35</v>
      </c>
      <c r="C169" s="321">
        <f t="shared" si="44"/>
        <v>32472.65</v>
      </c>
      <c r="D169" s="147">
        <f t="shared" si="50"/>
        <v>2435.19</v>
      </c>
      <c r="E169" s="321">
        <f t="shared" si="51"/>
        <v>212.96</v>
      </c>
      <c r="F169" s="321">
        <f t="shared" si="45"/>
        <v>2222.23</v>
      </c>
      <c r="G169" s="424">
        <v>0</v>
      </c>
      <c r="H169" s="321">
        <f t="shared" si="46"/>
        <v>30250.42</v>
      </c>
      <c r="I169" s="425"/>
      <c r="J169" s="422"/>
      <c r="K169" s="374"/>
      <c r="L169" s="308">
        <f t="shared" si="40"/>
        <v>35</v>
      </c>
      <c r="M169" s="426">
        <f t="shared" si="47"/>
        <v>85231.65000000004</v>
      </c>
      <c r="N169" s="426">
        <f t="shared" si="48"/>
        <v>15482.07</v>
      </c>
      <c r="O169" s="426">
        <f t="shared" si="49"/>
        <v>69749.58000000005</v>
      </c>
      <c r="P169" s="374"/>
      <c r="Q169" s="427"/>
    </row>
    <row r="170" spans="2:17" ht="15">
      <c r="B170" s="320">
        <f t="shared" si="43"/>
        <v>36</v>
      </c>
      <c r="C170" s="321">
        <f t="shared" si="44"/>
        <v>30250.42</v>
      </c>
      <c r="D170" s="147">
        <f t="shared" si="50"/>
        <v>2435.19</v>
      </c>
      <c r="E170" s="321">
        <f t="shared" si="51"/>
        <v>198.39</v>
      </c>
      <c r="F170" s="321">
        <f t="shared" si="45"/>
        <v>2236.8</v>
      </c>
      <c r="G170" s="424">
        <v>0</v>
      </c>
      <c r="H170" s="321">
        <f t="shared" si="46"/>
        <v>28013.62</v>
      </c>
      <c r="I170" s="425"/>
      <c r="J170" s="422"/>
      <c r="K170" s="374"/>
      <c r="L170" s="308">
        <f t="shared" si="40"/>
        <v>36</v>
      </c>
      <c r="M170" s="426">
        <f t="shared" si="47"/>
        <v>87666.84000000004</v>
      </c>
      <c r="N170" s="426">
        <f t="shared" si="48"/>
        <v>15680.46</v>
      </c>
      <c r="O170" s="426">
        <f t="shared" si="49"/>
        <v>71986.38000000003</v>
      </c>
      <c r="P170" s="374"/>
      <c r="Q170" s="427"/>
    </row>
    <row r="171" spans="2:17" ht="15">
      <c r="B171" s="320">
        <f t="shared" si="43"/>
        <v>37</v>
      </c>
      <c r="C171" s="321">
        <f t="shared" si="44"/>
        <v>28013.62</v>
      </c>
      <c r="D171" s="147">
        <f t="shared" si="50"/>
        <v>2435.19</v>
      </c>
      <c r="E171" s="321">
        <f t="shared" si="51"/>
        <v>183.72</v>
      </c>
      <c r="F171" s="321">
        <f t="shared" si="45"/>
        <v>2251.4700000000003</v>
      </c>
      <c r="G171" s="424">
        <v>0</v>
      </c>
      <c r="H171" s="321">
        <f t="shared" si="46"/>
        <v>25762.15</v>
      </c>
      <c r="I171" s="425"/>
      <c r="J171" s="422"/>
      <c r="K171" s="374"/>
      <c r="L171" s="308">
        <f t="shared" si="40"/>
        <v>37</v>
      </c>
      <c r="M171" s="426">
        <f t="shared" si="47"/>
        <v>90102.03000000004</v>
      </c>
      <c r="N171" s="426">
        <f t="shared" si="48"/>
        <v>15864.179999999998</v>
      </c>
      <c r="O171" s="426">
        <f t="shared" si="49"/>
        <v>74237.85000000005</v>
      </c>
      <c r="P171" s="374"/>
      <c r="Q171" s="427"/>
    </row>
    <row r="172" spans="2:17" ht="15">
      <c r="B172" s="320">
        <f t="shared" si="43"/>
        <v>38</v>
      </c>
      <c r="C172" s="321">
        <f t="shared" si="44"/>
        <v>25762.15</v>
      </c>
      <c r="D172" s="147">
        <f t="shared" si="50"/>
        <v>2435.19</v>
      </c>
      <c r="E172" s="321">
        <f t="shared" si="51"/>
        <v>168.95</v>
      </c>
      <c r="F172" s="321">
        <f t="shared" si="45"/>
        <v>2266.2400000000002</v>
      </c>
      <c r="G172" s="424">
        <v>0</v>
      </c>
      <c r="H172" s="321">
        <f t="shared" si="46"/>
        <v>23495.91</v>
      </c>
      <c r="I172" s="425"/>
      <c r="J172" s="422"/>
      <c r="K172" s="374"/>
      <c r="L172" s="308">
        <f t="shared" si="40"/>
        <v>38</v>
      </c>
      <c r="M172" s="426">
        <f t="shared" si="47"/>
        <v>92537.22000000004</v>
      </c>
      <c r="N172" s="426">
        <f t="shared" si="48"/>
        <v>16033.13</v>
      </c>
      <c r="O172" s="426">
        <f t="shared" si="49"/>
        <v>76504.09000000004</v>
      </c>
      <c r="P172" s="374"/>
      <c r="Q172" s="427"/>
    </row>
    <row r="173" spans="2:17" ht="15">
      <c r="B173" s="320">
        <f t="shared" si="43"/>
        <v>39</v>
      </c>
      <c r="C173" s="321">
        <f t="shared" si="44"/>
        <v>23495.91</v>
      </c>
      <c r="D173" s="147">
        <f t="shared" si="50"/>
        <v>2435.19</v>
      </c>
      <c r="E173" s="321">
        <f t="shared" si="51"/>
        <v>154.09</v>
      </c>
      <c r="F173" s="321">
        <f t="shared" si="45"/>
        <v>2281.1</v>
      </c>
      <c r="G173" s="424">
        <v>0</v>
      </c>
      <c r="H173" s="321">
        <f t="shared" si="46"/>
        <v>21214.81</v>
      </c>
      <c r="I173" s="425"/>
      <c r="J173" s="422"/>
      <c r="K173" s="374"/>
      <c r="L173" s="308">
        <f t="shared" si="40"/>
        <v>39</v>
      </c>
      <c r="M173" s="426">
        <f t="shared" si="47"/>
        <v>94972.41000000005</v>
      </c>
      <c r="N173" s="426">
        <f t="shared" si="48"/>
        <v>16187.22</v>
      </c>
      <c r="O173" s="426">
        <f t="shared" si="49"/>
        <v>78785.19000000005</v>
      </c>
      <c r="P173" s="374"/>
      <c r="Q173" s="427"/>
    </row>
    <row r="174" spans="2:17" ht="15">
      <c r="B174" s="320">
        <f t="shared" si="43"/>
        <v>40</v>
      </c>
      <c r="C174" s="321">
        <f t="shared" si="44"/>
        <v>21214.81</v>
      </c>
      <c r="D174" s="147">
        <f t="shared" si="50"/>
        <v>2435.19</v>
      </c>
      <c r="E174" s="321">
        <f t="shared" si="51"/>
        <v>139.13</v>
      </c>
      <c r="F174" s="321">
        <f t="shared" si="45"/>
        <v>2296.06</v>
      </c>
      <c r="G174" s="424">
        <v>0</v>
      </c>
      <c r="H174" s="321">
        <f t="shared" si="46"/>
        <v>18918.75</v>
      </c>
      <c r="I174" s="425"/>
      <c r="J174" s="422"/>
      <c r="K174" s="374"/>
      <c r="L174" s="308">
        <f t="shared" si="40"/>
        <v>40</v>
      </c>
      <c r="M174" s="426">
        <f t="shared" si="47"/>
        <v>97407.60000000005</v>
      </c>
      <c r="N174" s="426">
        <f t="shared" si="48"/>
        <v>16326.349999999999</v>
      </c>
      <c r="O174" s="426">
        <f t="shared" si="49"/>
        <v>81081.25000000006</v>
      </c>
      <c r="P174" s="374"/>
      <c r="Q174" s="427"/>
    </row>
    <row r="175" spans="2:17" ht="15">
      <c r="B175" s="320">
        <f t="shared" si="43"/>
        <v>41</v>
      </c>
      <c r="C175" s="321">
        <f t="shared" si="44"/>
        <v>18918.75</v>
      </c>
      <c r="D175" s="147">
        <f t="shared" si="50"/>
        <v>2435.19</v>
      </c>
      <c r="E175" s="321">
        <f t="shared" si="51"/>
        <v>124.07</v>
      </c>
      <c r="F175" s="321">
        <f t="shared" si="45"/>
        <v>2311.12</v>
      </c>
      <c r="G175" s="424">
        <v>0</v>
      </c>
      <c r="H175" s="321">
        <f t="shared" si="46"/>
        <v>16607.63</v>
      </c>
      <c r="I175" s="425"/>
      <c r="J175" s="422"/>
      <c r="K175" s="374"/>
      <c r="L175" s="308">
        <f t="shared" si="40"/>
        <v>41</v>
      </c>
      <c r="M175" s="426">
        <f t="shared" si="47"/>
        <v>99842.79000000005</v>
      </c>
      <c r="N175" s="426">
        <f t="shared" si="48"/>
        <v>16450.42</v>
      </c>
      <c r="O175" s="426">
        <f t="shared" si="49"/>
        <v>83392.37000000005</v>
      </c>
      <c r="P175" s="374"/>
      <c r="Q175" s="427"/>
    </row>
    <row r="176" spans="2:17" ht="15">
      <c r="B176" s="320">
        <f t="shared" si="43"/>
        <v>42</v>
      </c>
      <c r="C176" s="321">
        <f t="shared" si="44"/>
        <v>16607.63</v>
      </c>
      <c r="D176" s="147">
        <f t="shared" si="50"/>
        <v>2435.19</v>
      </c>
      <c r="E176" s="321">
        <f t="shared" si="51"/>
        <v>108.92</v>
      </c>
      <c r="F176" s="321">
        <f t="shared" si="45"/>
        <v>2326.27</v>
      </c>
      <c r="G176" s="424">
        <v>0</v>
      </c>
      <c r="H176" s="321">
        <f t="shared" si="46"/>
        <v>14281.36</v>
      </c>
      <c r="I176" s="425"/>
      <c r="J176" s="422"/>
      <c r="K176" s="374"/>
      <c r="L176" s="308">
        <f t="shared" si="40"/>
        <v>42</v>
      </c>
      <c r="M176" s="426">
        <f t="shared" si="47"/>
        <v>102277.98000000005</v>
      </c>
      <c r="N176" s="426">
        <f t="shared" si="48"/>
        <v>16559.339999999997</v>
      </c>
      <c r="O176" s="426">
        <f t="shared" si="49"/>
        <v>85718.64000000006</v>
      </c>
      <c r="P176" s="374"/>
      <c r="Q176" s="427"/>
    </row>
    <row r="177" spans="2:17" ht="15">
      <c r="B177" s="320">
        <f t="shared" si="43"/>
        <v>43</v>
      </c>
      <c r="C177" s="321">
        <f t="shared" si="44"/>
        <v>14281.36</v>
      </c>
      <c r="D177" s="147">
        <f t="shared" si="50"/>
        <v>2435.19</v>
      </c>
      <c r="E177" s="321">
        <f t="shared" si="51"/>
        <v>93.66</v>
      </c>
      <c r="F177" s="321">
        <f t="shared" si="45"/>
        <v>2341.53</v>
      </c>
      <c r="G177" s="424">
        <v>0</v>
      </c>
      <c r="H177" s="321">
        <f t="shared" si="46"/>
        <v>11939.83</v>
      </c>
      <c r="I177" s="425"/>
      <c r="J177" s="422"/>
      <c r="K177" s="374"/>
      <c r="L177" s="308">
        <f t="shared" si="40"/>
        <v>43</v>
      </c>
      <c r="M177" s="426">
        <f t="shared" si="47"/>
        <v>104713.17000000006</v>
      </c>
      <c r="N177" s="426">
        <f t="shared" si="48"/>
        <v>16652.999999999996</v>
      </c>
      <c r="O177" s="426">
        <f t="shared" si="49"/>
        <v>88060.17000000006</v>
      </c>
      <c r="P177" s="374"/>
      <c r="Q177" s="427"/>
    </row>
    <row r="178" spans="2:17" ht="15">
      <c r="B178" s="320">
        <f t="shared" si="43"/>
        <v>44</v>
      </c>
      <c r="C178" s="321">
        <f t="shared" si="44"/>
        <v>11939.83</v>
      </c>
      <c r="D178" s="147">
        <f t="shared" si="50"/>
        <v>2435.19</v>
      </c>
      <c r="E178" s="321">
        <f t="shared" si="51"/>
        <v>78.3</v>
      </c>
      <c r="F178" s="321">
        <f t="shared" si="45"/>
        <v>2356.89</v>
      </c>
      <c r="G178" s="424">
        <v>0</v>
      </c>
      <c r="H178" s="321">
        <f t="shared" si="46"/>
        <v>9582.94</v>
      </c>
      <c r="I178" s="425"/>
      <c r="J178" s="422"/>
      <c r="K178" s="374"/>
      <c r="L178" s="308">
        <f t="shared" si="40"/>
        <v>44</v>
      </c>
      <c r="M178" s="426">
        <f t="shared" si="47"/>
        <v>107148.36000000006</v>
      </c>
      <c r="N178" s="426">
        <f t="shared" si="48"/>
        <v>16731.299999999996</v>
      </c>
      <c r="O178" s="426">
        <f t="shared" si="49"/>
        <v>90417.06000000006</v>
      </c>
      <c r="P178" s="374"/>
      <c r="Q178" s="427"/>
    </row>
    <row r="179" spans="2:17" ht="15">
      <c r="B179" s="320">
        <f t="shared" si="43"/>
        <v>45</v>
      </c>
      <c r="C179" s="321">
        <f t="shared" si="44"/>
        <v>9582.94</v>
      </c>
      <c r="D179" s="147">
        <f t="shared" si="50"/>
        <v>2435.19</v>
      </c>
      <c r="E179" s="321">
        <f t="shared" si="51"/>
        <v>62.85</v>
      </c>
      <c r="F179" s="321">
        <f t="shared" si="45"/>
        <v>2372.34</v>
      </c>
      <c r="G179" s="424">
        <v>0</v>
      </c>
      <c r="H179" s="321">
        <f t="shared" si="46"/>
        <v>7210.6</v>
      </c>
      <c r="I179" s="425"/>
      <c r="J179" s="422"/>
      <c r="K179" s="374"/>
      <c r="L179" s="308">
        <f t="shared" si="40"/>
        <v>45</v>
      </c>
      <c r="M179" s="426">
        <f t="shared" si="47"/>
        <v>109583.55000000006</v>
      </c>
      <c r="N179" s="426">
        <f t="shared" si="48"/>
        <v>16794.149999999994</v>
      </c>
      <c r="O179" s="426">
        <f t="shared" si="49"/>
        <v>92789.40000000007</v>
      </c>
      <c r="P179" s="374"/>
      <c r="Q179" s="427"/>
    </row>
    <row r="180" spans="2:17" ht="15">
      <c r="B180" s="320">
        <f t="shared" si="43"/>
        <v>46</v>
      </c>
      <c r="C180" s="321">
        <f t="shared" si="44"/>
        <v>7210.6</v>
      </c>
      <c r="D180" s="147">
        <f t="shared" si="50"/>
        <v>2435.19</v>
      </c>
      <c r="E180" s="321">
        <f t="shared" si="51"/>
        <v>47.29</v>
      </c>
      <c r="F180" s="321">
        <f t="shared" si="45"/>
        <v>2387.9</v>
      </c>
      <c r="G180" s="424">
        <v>0</v>
      </c>
      <c r="H180" s="321">
        <f t="shared" si="46"/>
        <v>4822.7</v>
      </c>
      <c r="I180" s="425"/>
      <c r="J180" s="422"/>
      <c r="K180" s="374"/>
      <c r="L180" s="308">
        <f t="shared" si="40"/>
        <v>46</v>
      </c>
      <c r="M180" s="426">
        <f t="shared" si="47"/>
        <v>112018.74000000006</v>
      </c>
      <c r="N180" s="426">
        <f t="shared" si="48"/>
        <v>16841.439999999995</v>
      </c>
      <c r="O180" s="426">
        <f t="shared" si="49"/>
        <v>95177.30000000008</v>
      </c>
      <c r="P180" s="374"/>
      <c r="Q180" s="427"/>
    </row>
    <row r="181" spans="2:17" ht="15">
      <c r="B181" s="320">
        <f t="shared" si="43"/>
        <v>47</v>
      </c>
      <c r="C181" s="321">
        <f t="shared" si="44"/>
        <v>4822.7</v>
      </c>
      <c r="D181" s="147">
        <f t="shared" si="50"/>
        <v>2435.19</v>
      </c>
      <c r="E181" s="321">
        <f t="shared" si="51"/>
        <v>31.63</v>
      </c>
      <c r="F181" s="321">
        <f t="shared" si="45"/>
        <v>2403.56</v>
      </c>
      <c r="G181" s="424">
        <v>0</v>
      </c>
      <c r="H181" s="321">
        <f t="shared" si="46"/>
        <v>2419.14</v>
      </c>
      <c r="I181" s="425"/>
      <c r="J181" s="422"/>
      <c r="K181" s="374"/>
      <c r="L181" s="308">
        <f t="shared" si="40"/>
        <v>47</v>
      </c>
      <c r="M181" s="426">
        <f t="shared" si="47"/>
        <v>114453.93000000007</v>
      </c>
      <c r="N181" s="426">
        <f t="shared" si="48"/>
        <v>16873.069999999996</v>
      </c>
      <c r="O181" s="426">
        <f t="shared" si="49"/>
        <v>97580.86000000007</v>
      </c>
      <c r="P181" s="374"/>
      <c r="Q181" s="427"/>
    </row>
    <row r="182" spans="2:17" ht="15">
      <c r="B182" s="320">
        <f t="shared" si="43"/>
        <v>48</v>
      </c>
      <c r="C182" s="321">
        <f t="shared" si="44"/>
        <v>2419.14</v>
      </c>
      <c r="D182" s="147">
        <f t="shared" si="50"/>
        <v>2435.01</v>
      </c>
      <c r="E182" s="321">
        <f t="shared" si="51"/>
        <v>15.87</v>
      </c>
      <c r="F182" s="321">
        <f t="shared" si="45"/>
        <v>2419.1400000000003</v>
      </c>
      <c r="G182" s="424">
        <v>0</v>
      </c>
      <c r="H182" s="321">
        <f t="shared" si="46"/>
        <v>0</v>
      </c>
      <c r="I182" s="425"/>
      <c r="J182" s="422"/>
      <c r="K182" s="374"/>
      <c r="L182" s="308">
        <f t="shared" si="40"/>
        <v>48</v>
      </c>
      <c r="M182" s="426">
        <f t="shared" si="47"/>
        <v>116888.94000000006</v>
      </c>
      <c r="N182" s="426">
        <f t="shared" si="48"/>
        <v>16888.939999999995</v>
      </c>
      <c r="O182" s="426">
        <f t="shared" si="49"/>
        <v>100000.00000000006</v>
      </c>
      <c r="P182" s="374"/>
      <c r="Q182" s="427"/>
    </row>
    <row r="183" spans="2:17" ht="15">
      <c r="B183" s="320">
        <f t="shared" si="43"/>
      </c>
      <c r="C183" s="321">
        <f t="shared" si="44"/>
      </c>
      <c r="D183" s="147">
        <f t="shared" si="50"/>
      </c>
      <c r="E183" s="321">
        <f t="shared" si="51"/>
      </c>
      <c r="F183" s="321">
        <f t="shared" si="45"/>
      </c>
      <c r="G183" s="424">
        <v>0</v>
      </c>
      <c r="H183" s="321">
        <f t="shared" si="46"/>
      </c>
      <c r="I183" s="425"/>
      <c r="J183" s="422"/>
      <c r="K183" s="374"/>
      <c r="L183" s="308">
        <f t="shared" si="40"/>
      </c>
      <c r="M183" s="426">
        <f t="shared" si="47"/>
      </c>
      <c r="N183" s="426">
        <f t="shared" si="48"/>
      </c>
      <c r="O183" s="426">
        <f t="shared" si="49"/>
      </c>
      <c r="P183" s="374"/>
      <c r="Q183" s="427"/>
    </row>
    <row r="184" spans="2:17" ht="15">
      <c r="B184" s="320">
        <f t="shared" si="43"/>
      </c>
      <c r="C184" s="321">
        <f t="shared" si="44"/>
      </c>
      <c r="D184" s="147">
        <f t="shared" si="50"/>
      </c>
      <c r="E184" s="321">
        <f t="shared" si="51"/>
      </c>
      <c r="F184" s="321">
        <f t="shared" si="45"/>
      </c>
      <c r="G184" s="424">
        <v>0</v>
      </c>
      <c r="H184" s="321">
        <f t="shared" si="46"/>
      </c>
      <c r="I184" s="425"/>
      <c r="J184" s="422"/>
      <c r="K184" s="374"/>
      <c r="L184" s="308">
        <f t="shared" si="40"/>
      </c>
      <c r="M184" s="426">
        <f t="shared" si="47"/>
      </c>
      <c r="N184" s="426">
        <f t="shared" si="48"/>
      </c>
      <c r="O184" s="426">
        <f t="shared" si="49"/>
      </c>
      <c r="P184" s="374"/>
      <c r="Q184" s="427"/>
    </row>
    <row r="185" spans="2:17" ht="15">
      <c r="B185" s="320">
        <f t="shared" si="43"/>
      </c>
      <c r="C185" s="321">
        <f t="shared" si="44"/>
      </c>
      <c r="D185" s="147">
        <f t="shared" si="50"/>
      </c>
      <c r="E185" s="321">
        <f t="shared" si="51"/>
      </c>
      <c r="F185" s="321">
        <f t="shared" si="45"/>
      </c>
      <c r="G185" s="424">
        <v>0</v>
      </c>
      <c r="H185" s="321">
        <f t="shared" si="46"/>
      </c>
      <c r="I185" s="425"/>
      <c r="J185" s="422"/>
      <c r="K185" s="374"/>
      <c r="L185" s="308">
        <f t="shared" si="40"/>
      </c>
      <c r="M185" s="426">
        <f t="shared" si="47"/>
      </c>
      <c r="N185" s="426">
        <f t="shared" si="48"/>
      </c>
      <c r="O185" s="426">
        <f t="shared" si="49"/>
      </c>
      <c r="P185" s="374"/>
      <c r="Q185" s="427"/>
    </row>
    <row r="186" spans="2:17" ht="15">
      <c r="B186" s="320">
        <f t="shared" si="43"/>
      </c>
      <c r="C186" s="321">
        <f t="shared" si="44"/>
      </c>
      <c r="D186" s="147">
        <f t="shared" si="50"/>
      </c>
      <c r="E186" s="321">
        <f t="shared" si="51"/>
      </c>
      <c r="F186" s="321">
        <f t="shared" si="45"/>
      </c>
      <c r="G186" s="424">
        <v>0</v>
      </c>
      <c r="H186" s="321">
        <f t="shared" si="46"/>
      </c>
      <c r="I186" s="425"/>
      <c r="J186" s="422"/>
      <c r="K186" s="374"/>
      <c r="L186" s="308">
        <f t="shared" si="40"/>
      </c>
      <c r="M186" s="426">
        <f t="shared" si="47"/>
      </c>
      <c r="N186" s="426">
        <f t="shared" si="48"/>
      </c>
      <c r="O186" s="426">
        <f t="shared" si="49"/>
      </c>
      <c r="P186" s="374"/>
      <c r="Q186" s="427"/>
    </row>
    <row r="187" spans="2:17" ht="15">
      <c r="B187" s="320">
        <f t="shared" si="43"/>
      </c>
      <c r="C187" s="321">
        <f t="shared" si="44"/>
      </c>
      <c r="D187" s="147">
        <f t="shared" si="50"/>
      </c>
      <c r="E187" s="321">
        <f t="shared" si="51"/>
      </c>
      <c r="F187" s="321">
        <f t="shared" si="45"/>
      </c>
      <c r="G187" s="424">
        <v>0</v>
      </c>
      <c r="H187" s="321">
        <f t="shared" si="46"/>
      </c>
      <c r="I187" s="425"/>
      <c r="J187" s="422"/>
      <c r="K187" s="374"/>
      <c r="L187" s="308">
        <f t="shared" si="40"/>
      </c>
      <c r="M187" s="426">
        <f t="shared" si="47"/>
      </c>
      <c r="N187" s="426">
        <f t="shared" si="48"/>
      </c>
      <c r="O187" s="426">
        <f t="shared" si="49"/>
      </c>
      <c r="P187" s="374"/>
      <c r="Q187" s="427"/>
    </row>
    <row r="188" spans="2:17" ht="15">
      <c r="B188" s="320">
        <f t="shared" si="43"/>
      </c>
      <c r="C188" s="321">
        <f t="shared" si="44"/>
      </c>
      <c r="D188" s="147">
        <f t="shared" si="50"/>
      </c>
      <c r="E188" s="321">
        <f t="shared" si="51"/>
      </c>
      <c r="F188" s="321">
        <f t="shared" si="45"/>
      </c>
      <c r="G188" s="424">
        <v>0</v>
      </c>
      <c r="H188" s="321">
        <f t="shared" si="46"/>
      </c>
      <c r="I188" s="425"/>
      <c r="J188" s="422"/>
      <c r="K188" s="374"/>
      <c r="L188" s="308">
        <f t="shared" si="40"/>
      </c>
      <c r="M188" s="426">
        <f t="shared" si="47"/>
      </c>
      <c r="N188" s="426">
        <f t="shared" si="48"/>
      </c>
      <c r="O188" s="426">
        <f t="shared" si="49"/>
      </c>
      <c r="P188" s="374"/>
      <c r="Q188" s="427"/>
    </row>
    <row r="189" spans="2:17" ht="15">
      <c r="B189" s="320">
        <f t="shared" si="43"/>
      </c>
      <c r="C189" s="321">
        <f t="shared" si="44"/>
      </c>
      <c r="D189" s="147">
        <f t="shared" si="50"/>
      </c>
      <c r="E189" s="321">
        <f t="shared" si="51"/>
      </c>
      <c r="F189" s="321">
        <f t="shared" si="45"/>
      </c>
      <c r="G189" s="424">
        <v>0</v>
      </c>
      <c r="H189" s="321">
        <f t="shared" si="46"/>
      </c>
      <c r="I189" s="425"/>
      <c r="J189" s="422"/>
      <c r="K189" s="374"/>
      <c r="L189" s="308">
        <f t="shared" si="40"/>
      </c>
      <c r="M189" s="426">
        <f t="shared" si="47"/>
      </c>
      <c r="N189" s="426">
        <f t="shared" si="48"/>
      </c>
      <c r="O189" s="426">
        <f t="shared" si="49"/>
      </c>
      <c r="P189" s="374"/>
      <c r="Q189" s="427"/>
    </row>
    <row r="190" spans="2:17" ht="15">
      <c r="B190" s="320">
        <f t="shared" si="43"/>
      </c>
      <c r="C190" s="321">
        <f t="shared" si="44"/>
      </c>
      <c r="D190" s="147">
        <f t="shared" si="50"/>
      </c>
      <c r="E190" s="321">
        <f t="shared" si="51"/>
      </c>
      <c r="F190" s="321">
        <f t="shared" si="45"/>
      </c>
      <c r="G190" s="424">
        <v>0</v>
      </c>
      <c r="H190" s="321">
        <f t="shared" si="46"/>
      </c>
      <c r="I190" s="425"/>
      <c r="J190" s="422"/>
      <c r="K190" s="374"/>
      <c r="L190" s="308">
        <f t="shared" si="40"/>
      </c>
      <c r="M190" s="426">
        <f t="shared" si="47"/>
      </c>
      <c r="N190" s="426">
        <f t="shared" si="48"/>
      </c>
      <c r="O190" s="426">
        <f t="shared" si="49"/>
      </c>
      <c r="P190" s="374"/>
      <c r="Q190" s="427"/>
    </row>
    <row r="191" spans="2:17" ht="15">
      <c r="B191" s="320">
        <f t="shared" si="43"/>
      </c>
      <c r="C191" s="321">
        <f t="shared" si="44"/>
      </c>
      <c r="D191" s="147">
        <f t="shared" si="50"/>
      </c>
      <c r="E191" s="321">
        <f t="shared" si="51"/>
      </c>
      <c r="F191" s="321">
        <f t="shared" si="45"/>
      </c>
      <c r="G191" s="424">
        <v>0</v>
      </c>
      <c r="H191" s="321">
        <f t="shared" si="46"/>
      </c>
      <c r="I191" s="425"/>
      <c r="J191" s="422"/>
      <c r="K191" s="374"/>
      <c r="L191" s="308">
        <f t="shared" si="40"/>
      </c>
      <c r="M191" s="426">
        <f t="shared" si="47"/>
      </c>
      <c r="N191" s="426">
        <f t="shared" si="48"/>
      </c>
      <c r="O191" s="426">
        <f t="shared" si="49"/>
      </c>
      <c r="P191" s="374"/>
      <c r="Q191" s="427"/>
    </row>
    <row r="192" spans="2:17" ht="15">
      <c r="B192" s="320">
        <f t="shared" si="43"/>
      </c>
      <c r="C192" s="321">
        <f t="shared" si="44"/>
      </c>
      <c r="D192" s="147">
        <f t="shared" si="50"/>
      </c>
      <c r="E192" s="321">
        <f t="shared" si="51"/>
      </c>
      <c r="F192" s="321">
        <f t="shared" si="45"/>
      </c>
      <c r="G192" s="424">
        <v>0</v>
      </c>
      <c r="H192" s="321">
        <f t="shared" si="46"/>
      </c>
      <c r="I192" s="425"/>
      <c r="J192" s="422"/>
      <c r="K192" s="374"/>
      <c r="L192" s="308">
        <f t="shared" si="40"/>
      </c>
      <c r="M192" s="426">
        <f t="shared" si="47"/>
      </c>
      <c r="N192" s="426">
        <f t="shared" si="48"/>
      </c>
      <c r="O192" s="426">
        <f t="shared" si="49"/>
      </c>
      <c r="P192" s="374"/>
      <c r="Q192" s="427"/>
    </row>
    <row r="193" spans="2:17" ht="15">
      <c r="B193" s="320">
        <f t="shared" si="43"/>
      </c>
      <c r="C193" s="321">
        <f t="shared" si="44"/>
      </c>
      <c r="D193" s="147">
        <f t="shared" si="50"/>
      </c>
      <c r="E193" s="321">
        <f t="shared" si="51"/>
      </c>
      <c r="F193" s="321">
        <f t="shared" si="45"/>
      </c>
      <c r="G193" s="424">
        <v>0</v>
      </c>
      <c r="H193" s="321">
        <f t="shared" si="46"/>
      </c>
      <c r="I193" s="425"/>
      <c r="J193" s="422"/>
      <c r="K193" s="374"/>
      <c r="L193" s="308">
        <f t="shared" si="40"/>
      </c>
      <c r="M193" s="426">
        <f t="shared" si="47"/>
      </c>
      <c r="N193" s="426">
        <f t="shared" si="48"/>
      </c>
      <c r="O193" s="426">
        <f t="shared" si="49"/>
      </c>
      <c r="P193" s="374"/>
      <c r="Q193" s="427"/>
    </row>
    <row r="194" spans="2:17" ht="15">
      <c r="B194" s="320">
        <f t="shared" si="43"/>
      </c>
      <c r="C194" s="321">
        <f t="shared" si="44"/>
      </c>
      <c r="D194" s="147">
        <f t="shared" si="50"/>
      </c>
      <c r="E194" s="321">
        <f t="shared" si="51"/>
      </c>
      <c r="F194" s="321">
        <f t="shared" si="45"/>
      </c>
      <c r="G194" s="424">
        <v>0</v>
      </c>
      <c r="H194" s="321">
        <f t="shared" si="46"/>
      </c>
      <c r="I194" s="425"/>
      <c r="J194" s="422"/>
      <c r="K194" s="374"/>
      <c r="L194" s="308">
        <f t="shared" si="40"/>
      </c>
      <c r="M194" s="426">
        <f t="shared" si="47"/>
      </c>
      <c r="N194" s="426">
        <f t="shared" si="48"/>
      </c>
      <c r="O194" s="426">
        <f t="shared" si="49"/>
      </c>
      <c r="P194" s="374"/>
      <c r="Q194" s="427"/>
    </row>
    <row r="195" spans="2:17" ht="15">
      <c r="B195" s="320">
        <f t="shared" si="43"/>
      </c>
      <c r="C195" s="321">
        <f t="shared" si="44"/>
      </c>
      <c r="D195" s="147">
        <f t="shared" si="50"/>
      </c>
      <c r="E195" s="321">
        <f t="shared" si="51"/>
      </c>
      <c r="F195" s="321">
        <f t="shared" si="45"/>
      </c>
      <c r="G195" s="424">
        <v>0</v>
      </c>
      <c r="H195" s="321">
        <f t="shared" si="46"/>
      </c>
      <c r="I195" s="425"/>
      <c r="J195" s="422"/>
      <c r="K195" s="374"/>
      <c r="L195" s="308">
        <f t="shared" si="40"/>
      </c>
      <c r="M195" s="426">
        <f t="shared" si="47"/>
      </c>
      <c r="N195" s="426">
        <f t="shared" si="48"/>
      </c>
      <c r="O195" s="426">
        <f t="shared" si="49"/>
      </c>
      <c r="P195" s="374"/>
      <c r="Q195" s="427"/>
    </row>
    <row r="196" spans="2:17" ht="15">
      <c r="B196" s="320">
        <f t="shared" si="43"/>
      </c>
      <c r="C196" s="321">
        <f t="shared" si="44"/>
      </c>
      <c r="D196" s="147">
        <f t="shared" si="50"/>
      </c>
      <c r="E196" s="321">
        <f t="shared" si="51"/>
      </c>
      <c r="F196" s="321">
        <f t="shared" si="45"/>
      </c>
      <c r="G196" s="424">
        <v>0</v>
      </c>
      <c r="H196" s="321">
        <f t="shared" si="46"/>
      </c>
      <c r="I196" s="425"/>
      <c r="J196" s="422"/>
      <c r="K196" s="374"/>
      <c r="L196" s="308">
        <f t="shared" si="40"/>
      </c>
      <c r="M196" s="426">
        <f t="shared" si="47"/>
      </c>
      <c r="N196" s="426">
        <f t="shared" si="48"/>
      </c>
      <c r="O196" s="426">
        <f t="shared" si="49"/>
      </c>
      <c r="P196" s="374"/>
      <c r="Q196" s="427"/>
    </row>
    <row r="197" spans="2:17" ht="15">
      <c r="B197" s="320">
        <f t="shared" si="43"/>
      </c>
      <c r="C197" s="321">
        <f t="shared" si="44"/>
      </c>
      <c r="D197" s="147">
        <f t="shared" si="50"/>
      </c>
      <c r="E197" s="321">
        <f t="shared" si="51"/>
      </c>
      <c r="F197" s="321">
        <f t="shared" si="45"/>
      </c>
      <c r="G197" s="424">
        <v>0</v>
      </c>
      <c r="H197" s="321">
        <f t="shared" si="46"/>
      </c>
      <c r="I197" s="425"/>
      <c r="J197" s="422"/>
      <c r="K197" s="374"/>
      <c r="L197" s="308">
        <f t="shared" si="40"/>
      </c>
      <c r="M197" s="426">
        <f t="shared" si="47"/>
      </c>
      <c r="N197" s="426">
        <f t="shared" si="48"/>
      </c>
      <c r="O197" s="426">
        <f t="shared" si="49"/>
      </c>
      <c r="P197" s="374"/>
      <c r="Q197" s="427"/>
    </row>
    <row r="198" spans="2:17" ht="15">
      <c r="B198" s="320">
        <f t="shared" si="43"/>
      </c>
      <c r="C198" s="321">
        <f t="shared" si="44"/>
      </c>
      <c r="D198" s="147">
        <f t="shared" si="50"/>
      </c>
      <c r="E198" s="321">
        <f t="shared" si="51"/>
      </c>
      <c r="F198" s="321">
        <f t="shared" si="45"/>
      </c>
      <c r="G198" s="424">
        <v>0</v>
      </c>
      <c r="H198" s="321">
        <f t="shared" si="46"/>
      </c>
      <c r="I198" s="425"/>
      <c r="J198" s="422"/>
      <c r="K198" s="374"/>
      <c r="L198" s="308">
        <f t="shared" si="40"/>
      </c>
      <c r="M198" s="426">
        <f t="shared" si="47"/>
      </c>
      <c r="N198" s="426">
        <f t="shared" si="48"/>
      </c>
      <c r="O198" s="426">
        <f t="shared" si="49"/>
      </c>
      <c r="P198" s="374"/>
      <c r="Q198" s="427"/>
    </row>
    <row r="199" spans="2:17" ht="15">
      <c r="B199" s="320">
        <f t="shared" si="43"/>
      </c>
      <c r="C199" s="321">
        <f t="shared" si="44"/>
      </c>
      <c r="D199" s="147">
        <f t="shared" si="50"/>
      </c>
      <c r="E199" s="321">
        <f t="shared" si="51"/>
      </c>
      <c r="F199" s="321">
        <f t="shared" si="45"/>
      </c>
      <c r="G199" s="424">
        <v>0</v>
      </c>
      <c r="H199" s="321">
        <f t="shared" si="46"/>
      </c>
      <c r="I199" s="425"/>
      <c r="J199" s="422"/>
      <c r="K199" s="374"/>
      <c r="L199" s="308">
        <f aca="true" t="shared" si="52" ref="L199:L252">B199</f>
      </c>
      <c r="M199" s="426">
        <f t="shared" si="47"/>
      </c>
      <c r="N199" s="426">
        <f t="shared" si="48"/>
      </c>
      <c r="O199" s="426">
        <f t="shared" si="49"/>
      </c>
      <c r="P199" s="374"/>
      <c r="Q199" s="427"/>
    </row>
    <row r="200" spans="2:17" ht="15">
      <c r="B200" s="320">
        <f t="shared" si="43"/>
      </c>
      <c r="C200" s="321">
        <f t="shared" si="44"/>
      </c>
      <c r="D200" s="147">
        <f aca="true" t="shared" si="53" ref="D200:D231">IF(H199=0,"",ROUND(IF(C200+E200&lt;$G$124,C200+E200,$G$124),2))</f>
      </c>
      <c r="E200" s="321">
        <f aca="true" t="shared" si="54" ref="E200:E231">IF(H199=0,"",ROUND(((1+($E$125/($E$128)))^($E$128/$E$127)-1)*C200,2))</f>
      </c>
      <c r="F200" s="321">
        <f t="shared" si="45"/>
      </c>
      <c r="G200" s="424">
        <v>0</v>
      </c>
      <c r="H200" s="321">
        <f t="shared" si="46"/>
      </c>
      <c r="I200" s="425"/>
      <c r="J200" s="422"/>
      <c r="K200" s="374"/>
      <c r="L200" s="308">
        <f t="shared" si="52"/>
      </c>
      <c r="M200" s="426">
        <f t="shared" si="47"/>
      </c>
      <c r="N200" s="426">
        <f t="shared" si="48"/>
      </c>
      <c r="O200" s="426">
        <f t="shared" si="49"/>
      </c>
      <c r="P200" s="374"/>
      <c r="Q200" s="427"/>
    </row>
    <row r="201" spans="2:17" ht="15">
      <c r="B201" s="320">
        <f aca="true" t="shared" si="55" ref="B201:B252">IF(H200=0,"",1+B200)</f>
      </c>
      <c r="C201" s="321">
        <f aca="true" t="shared" si="56" ref="C201:C252">IF(H200=0,"",ROUND(H200,2))</f>
      </c>
      <c r="D201" s="147">
        <f t="shared" si="53"/>
      </c>
      <c r="E201" s="321">
        <f t="shared" si="54"/>
      </c>
      <c r="F201" s="321">
        <f aca="true" t="shared" si="57" ref="F201:F252">IF(H200=0,"",D201-E201+G201)</f>
      </c>
      <c r="G201" s="424">
        <v>0</v>
      </c>
      <c r="H201" s="321">
        <f aca="true" t="shared" si="58" ref="H201:H252">IF(H200=0,"",ROUND(C201-F201,2))</f>
      </c>
      <c r="I201" s="425"/>
      <c r="J201" s="422"/>
      <c r="K201" s="374"/>
      <c r="L201" s="308">
        <f t="shared" si="52"/>
      </c>
      <c r="M201" s="426">
        <f aca="true" t="shared" si="59" ref="M201:M252">IF(H200=0,"",D201+G201+M200)</f>
      </c>
      <c r="N201" s="426">
        <f aca="true" t="shared" si="60" ref="N201:N252">IF(H200=0,"",N200+E201)</f>
      </c>
      <c r="O201" s="426">
        <f aca="true" t="shared" si="61" ref="O201:O252">IF(H200=0,"",M201-N201)</f>
      </c>
      <c r="P201" s="374"/>
      <c r="Q201" s="427"/>
    </row>
    <row r="202" spans="2:17" ht="15">
      <c r="B202" s="320">
        <f t="shared" si="55"/>
      </c>
      <c r="C202" s="321">
        <f t="shared" si="56"/>
      </c>
      <c r="D202" s="147">
        <f t="shared" si="53"/>
      </c>
      <c r="E202" s="321">
        <f t="shared" si="54"/>
      </c>
      <c r="F202" s="321">
        <f t="shared" si="57"/>
      </c>
      <c r="G202" s="424">
        <v>0</v>
      </c>
      <c r="H202" s="321">
        <f t="shared" si="58"/>
      </c>
      <c r="I202" s="425"/>
      <c r="J202" s="422"/>
      <c r="K202" s="374"/>
      <c r="L202" s="308">
        <f t="shared" si="52"/>
      </c>
      <c r="M202" s="426">
        <f t="shared" si="59"/>
      </c>
      <c r="N202" s="426">
        <f t="shared" si="60"/>
      </c>
      <c r="O202" s="426">
        <f t="shared" si="61"/>
      </c>
      <c r="P202" s="374"/>
      <c r="Q202" s="427"/>
    </row>
    <row r="203" spans="2:17" ht="15">
      <c r="B203" s="320">
        <f t="shared" si="55"/>
      </c>
      <c r="C203" s="321">
        <f t="shared" si="56"/>
      </c>
      <c r="D203" s="147">
        <f t="shared" si="53"/>
      </c>
      <c r="E203" s="321">
        <f t="shared" si="54"/>
      </c>
      <c r="F203" s="321">
        <f t="shared" si="57"/>
      </c>
      <c r="G203" s="424">
        <v>0</v>
      </c>
      <c r="H203" s="321">
        <f t="shared" si="58"/>
      </c>
      <c r="I203" s="425"/>
      <c r="J203" s="422"/>
      <c r="K203" s="374"/>
      <c r="L203" s="308">
        <f t="shared" si="52"/>
      </c>
      <c r="M203" s="426">
        <f t="shared" si="59"/>
      </c>
      <c r="N203" s="426">
        <f t="shared" si="60"/>
      </c>
      <c r="O203" s="426">
        <f t="shared" si="61"/>
      </c>
      <c r="P203" s="374"/>
      <c r="Q203" s="427"/>
    </row>
    <row r="204" spans="2:17" ht="15">
      <c r="B204" s="320">
        <f t="shared" si="55"/>
      </c>
      <c r="C204" s="321">
        <f t="shared" si="56"/>
      </c>
      <c r="D204" s="147">
        <f t="shared" si="53"/>
      </c>
      <c r="E204" s="321">
        <f t="shared" si="54"/>
      </c>
      <c r="F204" s="321">
        <f t="shared" si="57"/>
      </c>
      <c r="G204" s="424">
        <v>0</v>
      </c>
      <c r="H204" s="321">
        <f t="shared" si="58"/>
      </c>
      <c r="I204" s="425"/>
      <c r="J204" s="422"/>
      <c r="K204" s="374"/>
      <c r="L204" s="308">
        <f t="shared" si="52"/>
      </c>
      <c r="M204" s="426">
        <f t="shared" si="59"/>
      </c>
      <c r="N204" s="426">
        <f t="shared" si="60"/>
      </c>
      <c r="O204" s="426">
        <f t="shared" si="61"/>
      </c>
      <c r="P204" s="374"/>
      <c r="Q204" s="427"/>
    </row>
    <row r="205" spans="2:17" ht="15">
      <c r="B205" s="320">
        <f t="shared" si="55"/>
      </c>
      <c r="C205" s="321">
        <f t="shared" si="56"/>
      </c>
      <c r="D205" s="147">
        <f t="shared" si="53"/>
      </c>
      <c r="E205" s="321">
        <f t="shared" si="54"/>
      </c>
      <c r="F205" s="321">
        <f t="shared" si="57"/>
      </c>
      <c r="G205" s="424">
        <v>0</v>
      </c>
      <c r="H205" s="321">
        <f t="shared" si="58"/>
      </c>
      <c r="I205" s="425"/>
      <c r="J205" s="422"/>
      <c r="K205" s="374"/>
      <c r="L205" s="308">
        <f t="shared" si="52"/>
      </c>
      <c r="M205" s="426">
        <f t="shared" si="59"/>
      </c>
      <c r="N205" s="426">
        <f t="shared" si="60"/>
      </c>
      <c r="O205" s="426">
        <f t="shared" si="61"/>
      </c>
      <c r="P205" s="374"/>
      <c r="Q205" s="427"/>
    </row>
    <row r="206" spans="2:17" ht="15">
      <c r="B206" s="320">
        <f t="shared" si="55"/>
      </c>
      <c r="C206" s="321">
        <f t="shared" si="56"/>
      </c>
      <c r="D206" s="147">
        <f t="shared" si="53"/>
      </c>
      <c r="E206" s="321">
        <f t="shared" si="54"/>
      </c>
      <c r="F206" s="321">
        <f t="shared" si="57"/>
      </c>
      <c r="G206" s="424">
        <v>0</v>
      </c>
      <c r="H206" s="321">
        <f t="shared" si="58"/>
      </c>
      <c r="I206" s="425"/>
      <c r="J206" s="422"/>
      <c r="K206" s="374"/>
      <c r="L206" s="308">
        <f t="shared" si="52"/>
      </c>
      <c r="M206" s="426">
        <f t="shared" si="59"/>
      </c>
      <c r="N206" s="426">
        <f t="shared" si="60"/>
      </c>
      <c r="O206" s="426">
        <f t="shared" si="61"/>
      </c>
      <c r="P206" s="374"/>
      <c r="Q206" s="427"/>
    </row>
    <row r="207" spans="2:17" ht="15">
      <c r="B207" s="320">
        <f t="shared" si="55"/>
      </c>
      <c r="C207" s="321">
        <f t="shared" si="56"/>
      </c>
      <c r="D207" s="147">
        <f t="shared" si="53"/>
      </c>
      <c r="E207" s="321">
        <f t="shared" si="54"/>
      </c>
      <c r="F207" s="321">
        <f t="shared" si="57"/>
      </c>
      <c r="G207" s="424">
        <v>0</v>
      </c>
      <c r="H207" s="321">
        <f t="shared" si="58"/>
      </c>
      <c r="I207" s="425"/>
      <c r="J207" s="422"/>
      <c r="K207" s="374"/>
      <c r="L207" s="308">
        <f t="shared" si="52"/>
      </c>
      <c r="M207" s="426">
        <f t="shared" si="59"/>
      </c>
      <c r="N207" s="426">
        <f t="shared" si="60"/>
      </c>
      <c r="O207" s="426">
        <f t="shared" si="61"/>
      </c>
      <c r="P207" s="374"/>
      <c r="Q207" s="427"/>
    </row>
    <row r="208" spans="2:17" ht="15">
      <c r="B208" s="320">
        <f t="shared" si="55"/>
      </c>
      <c r="C208" s="321">
        <f t="shared" si="56"/>
      </c>
      <c r="D208" s="147">
        <f t="shared" si="53"/>
      </c>
      <c r="E208" s="321">
        <f t="shared" si="54"/>
      </c>
      <c r="F208" s="321">
        <f t="shared" si="57"/>
      </c>
      <c r="G208" s="424">
        <v>0</v>
      </c>
      <c r="H208" s="321">
        <f t="shared" si="58"/>
      </c>
      <c r="I208" s="425"/>
      <c r="J208" s="422"/>
      <c r="K208" s="374"/>
      <c r="L208" s="308">
        <f t="shared" si="52"/>
      </c>
      <c r="M208" s="426">
        <f t="shared" si="59"/>
      </c>
      <c r="N208" s="426">
        <f t="shared" si="60"/>
      </c>
      <c r="O208" s="426">
        <f t="shared" si="61"/>
      </c>
      <c r="P208" s="374"/>
      <c r="Q208" s="427"/>
    </row>
    <row r="209" spans="2:17" ht="15">
      <c r="B209" s="320">
        <f t="shared" si="55"/>
      </c>
      <c r="C209" s="321">
        <f t="shared" si="56"/>
      </c>
      <c r="D209" s="147">
        <f t="shared" si="53"/>
      </c>
      <c r="E209" s="321">
        <f t="shared" si="54"/>
      </c>
      <c r="F209" s="321">
        <f t="shared" si="57"/>
      </c>
      <c r="G209" s="424">
        <v>0</v>
      </c>
      <c r="H209" s="321">
        <f t="shared" si="58"/>
      </c>
      <c r="I209" s="425"/>
      <c r="J209" s="422"/>
      <c r="K209" s="374"/>
      <c r="L209" s="308">
        <f t="shared" si="52"/>
      </c>
      <c r="M209" s="426">
        <f t="shared" si="59"/>
      </c>
      <c r="N209" s="426">
        <f t="shared" si="60"/>
      </c>
      <c r="O209" s="426">
        <f t="shared" si="61"/>
      </c>
      <c r="P209" s="374"/>
      <c r="Q209" s="427"/>
    </row>
    <row r="210" spans="2:17" ht="15">
      <c r="B210" s="320">
        <f t="shared" si="55"/>
      </c>
      <c r="C210" s="321">
        <f t="shared" si="56"/>
      </c>
      <c r="D210" s="147">
        <f t="shared" si="53"/>
      </c>
      <c r="E210" s="321">
        <f t="shared" si="54"/>
      </c>
      <c r="F210" s="321">
        <f t="shared" si="57"/>
      </c>
      <c r="G210" s="424">
        <v>0</v>
      </c>
      <c r="H210" s="321">
        <f t="shared" si="58"/>
      </c>
      <c r="I210" s="425"/>
      <c r="J210" s="422"/>
      <c r="K210" s="374"/>
      <c r="L210" s="308">
        <f t="shared" si="52"/>
      </c>
      <c r="M210" s="426">
        <f t="shared" si="59"/>
      </c>
      <c r="N210" s="426">
        <f t="shared" si="60"/>
      </c>
      <c r="O210" s="426">
        <f t="shared" si="61"/>
      </c>
      <c r="P210" s="374"/>
      <c r="Q210" s="427"/>
    </row>
    <row r="211" spans="2:17" ht="15">
      <c r="B211" s="320">
        <f t="shared" si="55"/>
      </c>
      <c r="C211" s="321">
        <f t="shared" si="56"/>
      </c>
      <c r="D211" s="147">
        <f t="shared" si="53"/>
      </c>
      <c r="E211" s="321">
        <f t="shared" si="54"/>
      </c>
      <c r="F211" s="321">
        <f t="shared" si="57"/>
      </c>
      <c r="G211" s="424">
        <v>0</v>
      </c>
      <c r="H211" s="321">
        <f t="shared" si="58"/>
      </c>
      <c r="I211" s="425"/>
      <c r="J211" s="422"/>
      <c r="K211" s="374"/>
      <c r="L211" s="308">
        <f t="shared" si="52"/>
      </c>
      <c r="M211" s="426">
        <f t="shared" si="59"/>
      </c>
      <c r="N211" s="426">
        <f t="shared" si="60"/>
      </c>
      <c r="O211" s="426">
        <f t="shared" si="61"/>
      </c>
      <c r="P211" s="374"/>
      <c r="Q211" s="427"/>
    </row>
    <row r="212" spans="2:17" ht="15">
      <c r="B212" s="320">
        <f t="shared" si="55"/>
      </c>
      <c r="C212" s="321">
        <f t="shared" si="56"/>
      </c>
      <c r="D212" s="147">
        <f t="shared" si="53"/>
      </c>
      <c r="E212" s="321">
        <f t="shared" si="54"/>
      </c>
      <c r="F212" s="321">
        <f t="shared" si="57"/>
      </c>
      <c r="G212" s="424">
        <v>0</v>
      </c>
      <c r="H212" s="321">
        <f t="shared" si="58"/>
      </c>
      <c r="I212" s="425"/>
      <c r="J212" s="422"/>
      <c r="K212" s="374"/>
      <c r="L212" s="308">
        <f t="shared" si="52"/>
      </c>
      <c r="M212" s="426">
        <f t="shared" si="59"/>
      </c>
      <c r="N212" s="426">
        <f t="shared" si="60"/>
      </c>
      <c r="O212" s="426">
        <f t="shared" si="61"/>
      </c>
      <c r="P212" s="374"/>
      <c r="Q212" s="427"/>
    </row>
    <row r="213" spans="2:17" ht="15">
      <c r="B213" s="320">
        <f t="shared" si="55"/>
      </c>
      <c r="C213" s="321">
        <f t="shared" si="56"/>
      </c>
      <c r="D213" s="147">
        <f t="shared" si="53"/>
      </c>
      <c r="E213" s="321">
        <f t="shared" si="54"/>
      </c>
      <c r="F213" s="321">
        <f t="shared" si="57"/>
      </c>
      <c r="G213" s="424">
        <v>0</v>
      </c>
      <c r="H213" s="321">
        <f t="shared" si="58"/>
      </c>
      <c r="I213" s="425"/>
      <c r="J213" s="422"/>
      <c r="K213" s="374"/>
      <c r="L213" s="308">
        <f t="shared" si="52"/>
      </c>
      <c r="M213" s="426">
        <f t="shared" si="59"/>
      </c>
      <c r="N213" s="426">
        <f t="shared" si="60"/>
      </c>
      <c r="O213" s="426">
        <f t="shared" si="61"/>
      </c>
      <c r="P213" s="374"/>
      <c r="Q213" s="427"/>
    </row>
    <row r="214" spans="2:17" ht="15">
      <c r="B214" s="320">
        <f t="shared" si="55"/>
      </c>
      <c r="C214" s="321">
        <f t="shared" si="56"/>
      </c>
      <c r="D214" s="147">
        <f t="shared" si="53"/>
      </c>
      <c r="E214" s="321">
        <f t="shared" si="54"/>
      </c>
      <c r="F214" s="321">
        <f t="shared" si="57"/>
      </c>
      <c r="G214" s="424">
        <v>0</v>
      </c>
      <c r="H214" s="321">
        <f t="shared" si="58"/>
      </c>
      <c r="I214" s="425"/>
      <c r="J214" s="422"/>
      <c r="K214" s="374"/>
      <c r="L214" s="308">
        <f t="shared" si="52"/>
      </c>
      <c r="M214" s="426">
        <f t="shared" si="59"/>
      </c>
      <c r="N214" s="426">
        <f t="shared" si="60"/>
      </c>
      <c r="O214" s="426">
        <f t="shared" si="61"/>
      </c>
      <c r="P214" s="374"/>
      <c r="Q214" s="427"/>
    </row>
    <row r="215" spans="2:17" ht="15">
      <c r="B215" s="320">
        <f t="shared" si="55"/>
      </c>
      <c r="C215" s="321">
        <f t="shared" si="56"/>
      </c>
      <c r="D215" s="147">
        <f t="shared" si="53"/>
      </c>
      <c r="E215" s="321">
        <f t="shared" si="54"/>
      </c>
      <c r="F215" s="321">
        <f t="shared" si="57"/>
      </c>
      <c r="G215" s="424">
        <v>0</v>
      </c>
      <c r="H215" s="321">
        <f t="shared" si="58"/>
      </c>
      <c r="I215" s="425"/>
      <c r="J215" s="422"/>
      <c r="K215" s="374"/>
      <c r="L215" s="308">
        <f t="shared" si="52"/>
      </c>
      <c r="M215" s="426">
        <f t="shared" si="59"/>
      </c>
      <c r="N215" s="426">
        <f t="shared" si="60"/>
      </c>
      <c r="O215" s="426">
        <f t="shared" si="61"/>
      </c>
      <c r="P215" s="374"/>
      <c r="Q215" s="427"/>
    </row>
    <row r="216" spans="2:17" ht="15">
      <c r="B216" s="320">
        <f t="shared" si="55"/>
      </c>
      <c r="C216" s="321">
        <f t="shared" si="56"/>
      </c>
      <c r="D216" s="147">
        <f t="shared" si="53"/>
      </c>
      <c r="E216" s="321">
        <f t="shared" si="54"/>
      </c>
      <c r="F216" s="321">
        <f t="shared" si="57"/>
      </c>
      <c r="G216" s="424">
        <v>0</v>
      </c>
      <c r="H216" s="321">
        <f t="shared" si="58"/>
      </c>
      <c r="I216" s="425"/>
      <c r="J216" s="422"/>
      <c r="K216" s="374"/>
      <c r="L216" s="308">
        <f t="shared" si="52"/>
      </c>
      <c r="M216" s="426">
        <f t="shared" si="59"/>
      </c>
      <c r="N216" s="426">
        <f t="shared" si="60"/>
      </c>
      <c r="O216" s="426">
        <f t="shared" si="61"/>
      </c>
      <c r="P216" s="374"/>
      <c r="Q216" s="427"/>
    </row>
    <row r="217" spans="2:17" ht="15">
      <c r="B217" s="320">
        <f t="shared" si="55"/>
      </c>
      <c r="C217" s="321">
        <f t="shared" si="56"/>
      </c>
      <c r="D217" s="147">
        <f t="shared" si="53"/>
      </c>
      <c r="E217" s="321">
        <f t="shared" si="54"/>
      </c>
      <c r="F217" s="321">
        <f t="shared" si="57"/>
      </c>
      <c r="G217" s="424">
        <v>0</v>
      </c>
      <c r="H217" s="321">
        <f t="shared" si="58"/>
      </c>
      <c r="I217" s="425"/>
      <c r="J217" s="422"/>
      <c r="K217" s="374"/>
      <c r="L217" s="308">
        <f t="shared" si="52"/>
      </c>
      <c r="M217" s="426">
        <f t="shared" si="59"/>
      </c>
      <c r="N217" s="426">
        <f t="shared" si="60"/>
      </c>
      <c r="O217" s="426">
        <f t="shared" si="61"/>
      </c>
      <c r="P217" s="374"/>
      <c r="Q217" s="427"/>
    </row>
    <row r="218" spans="2:17" ht="15">
      <c r="B218" s="320">
        <f t="shared" si="55"/>
      </c>
      <c r="C218" s="321">
        <f t="shared" si="56"/>
      </c>
      <c r="D218" s="147">
        <f t="shared" si="53"/>
      </c>
      <c r="E218" s="321">
        <f t="shared" si="54"/>
      </c>
      <c r="F218" s="321">
        <f t="shared" si="57"/>
      </c>
      <c r="G218" s="424">
        <v>0</v>
      </c>
      <c r="H218" s="321">
        <f t="shared" si="58"/>
      </c>
      <c r="I218" s="425"/>
      <c r="J218" s="422"/>
      <c r="K218" s="374"/>
      <c r="L218" s="308">
        <f t="shared" si="52"/>
      </c>
      <c r="M218" s="426">
        <f t="shared" si="59"/>
      </c>
      <c r="N218" s="426">
        <f t="shared" si="60"/>
      </c>
      <c r="O218" s="426">
        <f t="shared" si="61"/>
      </c>
      <c r="P218" s="374"/>
      <c r="Q218" s="427"/>
    </row>
    <row r="219" spans="2:17" ht="15">
      <c r="B219" s="320">
        <f t="shared" si="55"/>
      </c>
      <c r="C219" s="321">
        <f t="shared" si="56"/>
      </c>
      <c r="D219" s="147">
        <f t="shared" si="53"/>
      </c>
      <c r="E219" s="321">
        <f t="shared" si="54"/>
      </c>
      <c r="F219" s="321">
        <f t="shared" si="57"/>
      </c>
      <c r="G219" s="424">
        <v>0</v>
      </c>
      <c r="H219" s="321">
        <f t="shared" si="58"/>
      </c>
      <c r="I219" s="425"/>
      <c r="J219" s="422"/>
      <c r="K219" s="374"/>
      <c r="L219" s="308">
        <f t="shared" si="52"/>
      </c>
      <c r="M219" s="426">
        <f t="shared" si="59"/>
      </c>
      <c r="N219" s="426">
        <f t="shared" si="60"/>
      </c>
      <c r="O219" s="426">
        <f t="shared" si="61"/>
      </c>
      <c r="P219" s="374"/>
      <c r="Q219" s="427"/>
    </row>
    <row r="220" spans="2:17" ht="15">
      <c r="B220" s="320">
        <f t="shared" si="55"/>
      </c>
      <c r="C220" s="321">
        <f t="shared" si="56"/>
      </c>
      <c r="D220" s="147">
        <f t="shared" si="53"/>
      </c>
      <c r="E220" s="321">
        <f t="shared" si="54"/>
      </c>
      <c r="F220" s="321">
        <f t="shared" si="57"/>
      </c>
      <c r="G220" s="424">
        <v>0</v>
      </c>
      <c r="H220" s="321">
        <f t="shared" si="58"/>
      </c>
      <c r="I220" s="425"/>
      <c r="J220" s="422"/>
      <c r="K220" s="374"/>
      <c r="L220" s="308">
        <f t="shared" si="52"/>
      </c>
      <c r="M220" s="426">
        <f t="shared" si="59"/>
      </c>
      <c r="N220" s="426">
        <f t="shared" si="60"/>
      </c>
      <c r="O220" s="426">
        <f t="shared" si="61"/>
      </c>
      <c r="P220" s="374"/>
      <c r="Q220" s="427"/>
    </row>
    <row r="221" spans="2:17" ht="15">
      <c r="B221" s="320">
        <f t="shared" si="55"/>
      </c>
      <c r="C221" s="321">
        <f t="shared" si="56"/>
      </c>
      <c r="D221" s="147">
        <f t="shared" si="53"/>
      </c>
      <c r="E221" s="321">
        <f t="shared" si="54"/>
      </c>
      <c r="F221" s="321">
        <f t="shared" si="57"/>
      </c>
      <c r="G221" s="424">
        <v>0</v>
      </c>
      <c r="H221" s="321">
        <f t="shared" si="58"/>
      </c>
      <c r="I221" s="425"/>
      <c r="J221" s="422"/>
      <c r="K221" s="374"/>
      <c r="L221" s="308">
        <f t="shared" si="52"/>
      </c>
      <c r="M221" s="426">
        <f t="shared" si="59"/>
      </c>
      <c r="N221" s="426">
        <f t="shared" si="60"/>
      </c>
      <c r="O221" s="426">
        <f t="shared" si="61"/>
      </c>
      <c r="P221" s="374"/>
      <c r="Q221" s="427"/>
    </row>
    <row r="222" spans="2:17" ht="15">
      <c r="B222" s="320">
        <f t="shared" si="55"/>
      </c>
      <c r="C222" s="321">
        <f t="shared" si="56"/>
      </c>
      <c r="D222" s="147">
        <f t="shared" si="53"/>
      </c>
      <c r="E222" s="321">
        <f t="shared" si="54"/>
      </c>
      <c r="F222" s="321">
        <f t="shared" si="57"/>
      </c>
      <c r="G222" s="424">
        <v>0</v>
      </c>
      <c r="H222" s="321">
        <f t="shared" si="58"/>
      </c>
      <c r="I222" s="425"/>
      <c r="J222" s="422"/>
      <c r="K222" s="374"/>
      <c r="L222" s="308">
        <f t="shared" si="52"/>
      </c>
      <c r="M222" s="426">
        <f t="shared" si="59"/>
      </c>
      <c r="N222" s="426">
        <f t="shared" si="60"/>
      </c>
      <c r="O222" s="426">
        <f t="shared" si="61"/>
      </c>
      <c r="P222" s="374"/>
      <c r="Q222" s="427"/>
    </row>
    <row r="223" spans="2:17" ht="15">
      <c r="B223" s="320">
        <f t="shared" si="55"/>
      </c>
      <c r="C223" s="321">
        <f t="shared" si="56"/>
      </c>
      <c r="D223" s="147">
        <f t="shared" si="53"/>
      </c>
      <c r="E223" s="321">
        <f t="shared" si="54"/>
      </c>
      <c r="F223" s="321">
        <f t="shared" si="57"/>
      </c>
      <c r="G223" s="424">
        <v>0</v>
      </c>
      <c r="H223" s="321">
        <f t="shared" si="58"/>
      </c>
      <c r="I223" s="425"/>
      <c r="J223" s="422"/>
      <c r="K223" s="374"/>
      <c r="L223" s="308">
        <f t="shared" si="52"/>
      </c>
      <c r="M223" s="426">
        <f t="shared" si="59"/>
      </c>
      <c r="N223" s="426">
        <f t="shared" si="60"/>
      </c>
      <c r="O223" s="426">
        <f t="shared" si="61"/>
      </c>
      <c r="P223" s="374"/>
      <c r="Q223" s="427"/>
    </row>
    <row r="224" spans="2:17" ht="15">
      <c r="B224" s="320">
        <f t="shared" si="55"/>
      </c>
      <c r="C224" s="321">
        <f t="shared" si="56"/>
      </c>
      <c r="D224" s="147">
        <f t="shared" si="53"/>
      </c>
      <c r="E224" s="321">
        <f t="shared" si="54"/>
      </c>
      <c r="F224" s="321">
        <f t="shared" si="57"/>
      </c>
      <c r="G224" s="424">
        <v>0</v>
      </c>
      <c r="H224" s="321">
        <f t="shared" si="58"/>
      </c>
      <c r="I224" s="425"/>
      <c r="J224" s="422"/>
      <c r="K224" s="374"/>
      <c r="L224" s="308">
        <f t="shared" si="52"/>
      </c>
      <c r="M224" s="426">
        <f t="shared" si="59"/>
      </c>
      <c r="N224" s="426">
        <f t="shared" si="60"/>
      </c>
      <c r="O224" s="426">
        <f t="shared" si="61"/>
      </c>
      <c r="P224" s="374"/>
      <c r="Q224" s="427"/>
    </row>
    <row r="225" spans="2:17" ht="15">
      <c r="B225" s="320">
        <f t="shared" si="55"/>
      </c>
      <c r="C225" s="321">
        <f t="shared" si="56"/>
      </c>
      <c r="D225" s="147">
        <f t="shared" si="53"/>
      </c>
      <c r="E225" s="321">
        <f t="shared" si="54"/>
      </c>
      <c r="F225" s="321">
        <f t="shared" si="57"/>
      </c>
      <c r="G225" s="424">
        <v>0</v>
      </c>
      <c r="H225" s="321">
        <f t="shared" si="58"/>
      </c>
      <c r="I225" s="425"/>
      <c r="J225" s="422"/>
      <c r="K225" s="374"/>
      <c r="L225" s="308">
        <f t="shared" si="52"/>
      </c>
      <c r="M225" s="426">
        <f t="shared" si="59"/>
      </c>
      <c r="N225" s="426">
        <f t="shared" si="60"/>
      </c>
      <c r="O225" s="426">
        <f t="shared" si="61"/>
      </c>
      <c r="P225" s="374"/>
      <c r="Q225" s="427"/>
    </row>
    <row r="226" spans="2:17" ht="15">
      <c r="B226" s="320">
        <f t="shared" si="55"/>
      </c>
      <c r="C226" s="321">
        <f t="shared" si="56"/>
      </c>
      <c r="D226" s="147">
        <f t="shared" si="53"/>
      </c>
      <c r="E226" s="321">
        <f t="shared" si="54"/>
      </c>
      <c r="F226" s="321">
        <f t="shared" si="57"/>
      </c>
      <c r="G226" s="424">
        <v>0</v>
      </c>
      <c r="H226" s="321">
        <f t="shared" si="58"/>
      </c>
      <c r="I226" s="425"/>
      <c r="J226" s="422"/>
      <c r="K226" s="374"/>
      <c r="L226" s="308">
        <f t="shared" si="52"/>
      </c>
      <c r="M226" s="426">
        <f t="shared" si="59"/>
      </c>
      <c r="N226" s="426">
        <f t="shared" si="60"/>
      </c>
      <c r="O226" s="426">
        <f t="shared" si="61"/>
      </c>
      <c r="P226" s="374"/>
      <c r="Q226" s="427"/>
    </row>
    <row r="227" spans="2:17" ht="15">
      <c r="B227" s="320">
        <f t="shared" si="55"/>
      </c>
      <c r="C227" s="321">
        <f t="shared" si="56"/>
      </c>
      <c r="D227" s="147">
        <f t="shared" si="53"/>
      </c>
      <c r="E227" s="321">
        <f t="shared" si="54"/>
      </c>
      <c r="F227" s="321">
        <f t="shared" si="57"/>
      </c>
      <c r="G227" s="424">
        <v>0</v>
      </c>
      <c r="H227" s="321">
        <f t="shared" si="58"/>
      </c>
      <c r="I227" s="425"/>
      <c r="J227" s="422"/>
      <c r="K227" s="374"/>
      <c r="L227" s="308">
        <f t="shared" si="52"/>
      </c>
      <c r="M227" s="426">
        <f t="shared" si="59"/>
      </c>
      <c r="N227" s="426">
        <f t="shared" si="60"/>
      </c>
      <c r="O227" s="426">
        <f t="shared" si="61"/>
      </c>
      <c r="P227" s="374"/>
      <c r="Q227" s="427"/>
    </row>
    <row r="228" spans="2:17" ht="15">
      <c r="B228" s="320">
        <f t="shared" si="55"/>
      </c>
      <c r="C228" s="321">
        <f t="shared" si="56"/>
      </c>
      <c r="D228" s="147">
        <f t="shared" si="53"/>
      </c>
      <c r="E228" s="321">
        <f t="shared" si="54"/>
      </c>
      <c r="F228" s="321">
        <f t="shared" si="57"/>
      </c>
      <c r="G228" s="424">
        <v>0</v>
      </c>
      <c r="H228" s="321">
        <f t="shared" si="58"/>
      </c>
      <c r="I228" s="425"/>
      <c r="J228" s="422"/>
      <c r="K228" s="374"/>
      <c r="L228" s="308">
        <f t="shared" si="52"/>
      </c>
      <c r="M228" s="426">
        <f t="shared" si="59"/>
      </c>
      <c r="N228" s="426">
        <f t="shared" si="60"/>
      </c>
      <c r="O228" s="426">
        <f t="shared" si="61"/>
      </c>
      <c r="P228" s="374"/>
      <c r="Q228" s="427"/>
    </row>
    <row r="229" spans="2:17" ht="15">
      <c r="B229" s="320">
        <f t="shared" si="55"/>
      </c>
      <c r="C229" s="321">
        <f t="shared" si="56"/>
      </c>
      <c r="D229" s="147">
        <f t="shared" si="53"/>
      </c>
      <c r="E229" s="321">
        <f t="shared" si="54"/>
      </c>
      <c r="F229" s="321">
        <f t="shared" si="57"/>
      </c>
      <c r="G229" s="424">
        <v>0</v>
      </c>
      <c r="H229" s="321">
        <f t="shared" si="58"/>
      </c>
      <c r="I229" s="425"/>
      <c r="J229" s="422"/>
      <c r="K229" s="374"/>
      <c r="L229" s="308">
        <f t="shared" si="52"/>
      </c>
      <c r="M229" s="426">
        <f t="shared" si="59"/>
      </c>
      <c r="N229" s="426">
        <f t="shared" si="60"/>
      </c>
      <c r="O229" s="426">
        <f t="shared" si="61"/>
      </c>
      <c r="P229" s="374"/>
      <c r="Q229" s="427"/>
    </row>
    <row r="230" spans="2:17" ht="15">
      <c r="B230" s="320">
        <f t="shared" si="55"/>
      </c>
      <c r="C230" s="321">
        <f t="shared" si="56"/>
      </c>
      <c r="D230" s="147">
        <f t="shared" si="53"/>
      </c>
      <c r="E230" s="321">
        <f t="shared" si="54"/>
      </c>
      <c r="F230" s="321">
        <f t="shared" si="57"/>
      </c>
      <c r="G230" s="424">
        <v>0</v>
      </c>
      <c r="H230" s="321">
        <f t="shared" si="58"/>
      </c>
      <c r="I230" s="425"/>
      <c r="J230" s="422"/>
      <c r="K230" s="374"/>
      <c r="L230" s="308">
        <f t="shared" si="52"/>
      </c>
      <c r="M230" s="426">
        <f t="shared" si="59"/>
      </c>
      <c r="N230" s="426">
        <f t="shared" si="60"/>
      </c>
      <c r="O230" s="426">
        <f t="shared" si="61"/>
      </c>
      <c r="P230" s="374"/>
      <c r="Q230" s="427"/>
    </row>
    <row r="231" spans="2:17" ht="15">
      <c r="B231" s="320">
        <f t="shared" si="55"/>
      </c>
      <c r="C231" s="321">
        <f t="shared" si="56"/>
      </c>
      <c r="D231" s="147">
        <f t="shared" si="53"/>
      </c>
      <c r="E231" s="321">
        <f t="shared" si="54"/>
      </c>
      <c r="F231" s="321">
        <f t="shared" si="57"/>
      </c>
      <c r="G231" s="424">
        <v>0</v>
      </c>
      <c r="H231" s="321">
        <f t="shared" si="58"/>
      </c>
      <c r="I231" s="425"/>
      <c r="J231" s="422"/>
      <c r="K231" s="374"/>
      <c r="L231" s="308">
        <f t="shared" si="52"/>
      </c>
      <c r="M231" s="426">
        <f t="shared" si="59"/>
      </c>
      <c r="N231" s="426">
        <f t="shared" si="60"/>
      </c>
      <c r="O231" s="426">
        <f t="shared" si="61"/>
      </c>
      <c r="P231" s="374"/>
      <c r="Q231" s="427"/>
    </row>
    <row r="232" spans="2:17" ht="15">
      <c r="B232" s="320">
        <f t="shared" si="55"/>
      </c>
      <c r="C232" s="321">
        <f t="shared" si="56"/>
      </c>
      <c r="D232" s="147">
        <f aca="true" t="shared" si="62" ref="D232:D260">IF(H231=0,"",ROUND(IF(C232+E232&lt;$G$124,C232+E232,$G$124),2))</f>
      </c>
      <c r="E232" s="321">
        <f aca="true" t="shared" si="63" ref="E232:E260">IF(H231=0,"",ROUND(((1+($E$125/($E$128)))^($E$128/$E$127)-1)*C232,2))</f>
      </c>
      <c r="F232" s="321">
        <f t="shared" si="57"/>
      </c>
      <c r="G232" s="424">
        <v>0</v>
      </c>
      <c r="H232" s="321">
        <f t="shared" si="58"/>
      </c>
      <c r="I232" s="425"/>
      <c r="J232" s="422"/>
      <c r="K232" s="374"/>
      <c r="L232" s="308">
        <f t="shared" si="52"/>
      </c>
      <c r="M232" s="426">
        <f t="shared" si="59"/>
      </c>
      <c r="N232" s="426">
        <f t="shared" si="60"/>
      </c>
      <c r="O232" s="426">
        <f t="shared" si="61"/>
      </c>
      <c r="P232" s="374"/>
      <c r="Q232" s="427"/>
    </row>
    <row r="233" spans="2:17" ht="15">
      <c r="B233" s="320">
        <f t="shared" si="55"/>
      </c>
      <c r="C233" s="321">
        <f t="shared" si="56"/>
      </c>
      <c r="D233" s="147">
        <f t="shared" si="62"/>
      </c>
      <c r="E233" s="321">
        <f t="shared" si="63"/>
      </c>
      <c r="F233" s="321">
        <f t="shared" si="57"/>
      </c>
      <c r="G233" s="424">
        <v>0</v>
      </c>
      <c r="H233" s="321">
        <f t="shared" si="58"/>
      </c>
      <c r="I233" s="425"/>
      <c r="J233" s="422"/>
      <c r="K233" s="374"/>
      <c r="L233" s="308">
        <f t="shared" si="52"/>
      </c>
      <c r="M233" s="426">
        <f t="shared" si="59"/>
      </c>
      <c r="N233" s="426">
        <f t="shared" si="60"/>
      </c>
      <c r="O233" s="426">
        <f t="shared" si="61"/>
      </c>
      <c r="P233" s="374"/>
      <c r="Q233" s="427"/>
    </row>
    <row r="234" spans="2:17" ht="15">
      <c r="B234" s="320">
        <f t="shared" si="55"/>
      </c>
      <c r="C234" s="321">
        <f t="shared" si="56"/>
      </c>
      <c r="D234" s="147">
        <f t="shared" si="62"/>
      </c>
      <c r="E234" s="321">
        <f t="shared" si="63"/>
      </c>
      <c r="F234" s="321">
        <f t="shared" si="57"/>
      </c>
      <c r="G234" s="424">
        <v>0</v>
      </c>
      <c r="H234" s="321">
        <f t="shared" si="58"/>
      </c>
      <c r="I234" s="425"/>
      <c r="J234" s="422"/>
      <c r="K234" s="374"/>
      <c r="L234" s="308">
        <f t="shared" si="52"/>
      </c>
      <c r="M234" s="426">
        <f t="shared" si="59"/>
      </c>
      <c r="N234" s="426">
        <f t="shared" si="60"/>
      </c>
      <c r="O234" s="426">
        <f t="shared" si="61"/>
      </c>
      <c r="P234" s="374"/>
      <c r="Q234" s="427"/>
    </row>
    <row r="235" spans="2:17" ht="15">
      <c r="B235" s="320">
        <f t="shared" si="55"/>
      </c>
      <c r="C235" s="321">
        <f t="shared" si="56"/>
      </c>
      <c r="D235" s="147">
        <f t="shared" si="62"/>
      </c>
      <c r="E235" s="321">
        <f t="shared" si="63"/>
      </c>
      <c r="F235" s="321">
        <f t="shared" si="57"/>
      </c>
      <c r="G235" s="424">
        <v>0</v>
      </c>
      <c r="H235" s="321">
        <f t="shared" si="58"/>
      </c>
      <c r="I235" s="425"/>
      <c r="J235" s="422"/>
      <c r="K235" s="374"/>
      <c r="L235" s="308">
        <f t="shared" si="52"/>
      </c>
      <c r="M235" s="426">
        <f t="shared" si="59"/>
      </c>
      <c r="N235" s="426">
        <f t="shared" si="60"/>
      </c>
      <c r="O235" s="426">
        <f t="shared" si="61"/>
      </c>
      <c r="P235" s="374"/>
      <c r="Q235" s="427"/>
    </row>
    <row r="236" spans="2:17" ht="15">
      <c r="B236" s="320">
        <f t="shared" si="55"/>
      </c>
      <c r="C236" s="321">
        <f t="shared" si="56"/>
      </c>
      <c r="D236" s="147">
        <f t="shared" si="62"/>
      </c>
      <c r="E236" s="321">
        <f t="shared" si="63"/>
      </c>
      <c r="F236" s="321">
        <f t="shared" si="57"/>
      </c>
      <c r="G236" s="424">
        <v>0</v>
      </c>
      <c r="H236" s="321">
        <f t="shared" si="58"/>
      </c>
      <c r="I236" s="425"/>
      <c r="J236" s="422"/>
      <c r="K236" s="374"/>
      <c r="L236" s="308">
        <f t="shared" si="52"/>
      </c>
      <c r="M236" s="426">
        <f t="shared" si="59"/>
      </c>
      <c r="N236" s="426">
        <f t="shared" si="60"/>
      </c>
      <c r="O236" s="426">
        <f t="shared" si="61"/>
      </c>
      <c r="P236" s="374"/>
      <c r="Q236" s="427"/>
    </row>
    <row r="237" spans="2:17" ht="15">
      <c r="B237" s="320">
        <f t="shared" si="55"/>
      </c>
      <c r="C237" s="321">
        <f t="shared" si="56"/>
      </c>
      <c r="D237" s="147">
        <f t="shared" si="62"/>
      </c>
      <c r="E237" s="321">
        <f t="shared" si="63"/>
      </c>
      <c r="F237" s="321">
        <f t="shared" si="57"/>
      </c>
      <c r="G237" s="424">
        <v>0</v>
      </c>
      <c r="H237" s="321">
        <f t="shared" si="58"/>
      </c>
      <c r="I237" s="425"/>
      <c r="J237" s="422"/>
      <c r="K237" s="374"/>
      <c r="L237" s="308">
        <f t="shared" si="52"/>
      </c>
      <c r="M237" s="426">
        <f t="shared" si="59"/>
      </c>
      <c r="N237" s="426">
        <f t="shared" si="60"/>
      </c>
      <c r="O237" s="426">
        <f t="shared" si="61"/>
      </c>
      <c r="P237" s="374"/>
      <c r="Q237" s="427"/>
    </row>
    <row r="238" spans="2:17" ht="15">
      <c r="B238" s="320">
        <f t="shared" si="55"/>
      </c>
      <c r="C238" s="321">
        <f t="shared" si="56"/>
      </c>
      <c r="D238" s="147">
        <f t="shared" si="62"/>
      </c>
      <c r="E238" s="321">
        <f t="shared" si="63"/>
      </c>
      <c r="F238" s="321">
        <f t="shared" si="57"/>
      </c>
      <c r="G238" s="424">
        <v>0</v>
      </c>
      <c r="H238" s="321">
        <f t="shared" si="58"/>
      </c>
      <c r="I238" s="425"/>
      <c r="J238" s="422"/>
      <c r="K238" s="374"/>
      <c r="L238" s="308">
        <f t="shared" si="52"/>
      </c>
      <c r="M238" s="426">
        <f t="shared" si="59"/>
      </c>
      <c r="N238" s="426">
        <f t="shared" si="60"/>
      </c>
      <c r="O238" s="426">
        <f t="shared" si="61"/>
      </c>
      <c r="P238" s="374"/>
      <c r="Q238" s="427"/>
    </row>
    <row r="239" spans="2:17" ht="15">
      <c r="B239" s="320">
        <f t="shared" si="55"/>
      </c>
      <c r="C239" s="321">
        <f t="shared" si="56"/>
      </c>
      <c r="D239" s="147">
        <f t="shared" si="62"/>
      </c>
      <c r="E239" s="321">
        <f t="shared" si="63"/>
      </c>
      <c r="F239" s="321">
        <f t="shared" si="57"/>
      </c>
      <c r="G239" s="424">
        <v>0</v>
      </c>
      <c r="H239" s="321">
        <f t="shared" si="58"/>
      </c>
      <c r="I239" s="425"/>
      <c r="J239" s="422"/>
      <c r="K239" s="374"/>
      <c r="L239" s="308">
        <f t="shared" si="52"/>
      </c>
      <c r="M239" s="426">
        <f t="shared" si="59"/>
      </c>
      <c r="N239" s="426">
        <f t="shared" si="60"/>
      </c>
      <c r="O239" s="426">
        <f t="shared" si="61"/>
      </c>
      <c r="P239" s="374"/>
      <c r="Q239" s="427"/>
    </row>
    <row r="240" spans="2:17" ht="15">
      <c r="B240" s="320">
        <f t="shared" si="55"/>
      </c>
      <c r="C240" s="321">
        <f t="shared" si="56"/>
      </c>
      <c r="D240" s="147">
        <f t="shared" si="62"/>
      </c>
      <c r="E240" s="321">
        <f t="shared" si="63"/>
      </c>
      <c r="F240" s="321">
        <f t="shared" si="57"/>
      </c>
      <c r="G240" s="424">
        <v>0</v>
      </c>
      <c r="H240" s="321">
        <f t="shared" si="58"/>
      </c>
      <c r="I240" s="425"/>
      <c r="J240" s="422"/>
      <c r="K240" s="374"/>
      <c r="L240" s="308">
        <f t="shared" si="52"/>
      </c>
      <c r="M240" s="426">
        <f t="shared" si="59"/>
      </c>
      <c r="N240" s="426">
        <f t="shared" si="60"/>
      </c>
      <c r="O240" s="426">
        <f t="shared" si="61"/>
      </c>
      <c r="P240" s="374"/>
      <c r="Q240" s="427"/>
    </row>
    <row r="241" spans="2:17" ht="15">
      <c r="B241" s="320">
        <f t="shared" si="55"/>
      </c>
      <c r="C241" s="321">
        <f t="shared" si="56"/>
      </c>
      <c r="D241" s="147">
        <f t="shared" si="62"/>
      </c>
      <c r="E241" s="321">
        <f t="shared" si="63"/>
      </c>
      <c r="F241" s="321">
        <f t="shared" si="57"/>
      </c>
      <c r="G241" s="424">
        <v>0</v>
      </c>
      <c r="H241" s="321">
        <f t="shared" si="58"/>
      </c>
      <c r="I241" s="425"/>
      <c r="J241" s="422"/>
      <c r="K241" s="374"/>
      <c r="L241" s="308">
        <f t="shared" si="52"/>
      </c>
      <c r="M241" s="426">
        <f t="shared" si="59"/>
      </c>
      <c r="N241" s="426">
        <f t="shared" si="60"/>
      </c>
      <c r="O241" s="426">
        <f t="shared" si="61"/>
      </c>
      <c r="P241" s="374"/>
      <c r="Q241" s="427"/>
    </row>
    <row r="242" spans="2:17" ht="15">
      <c r="B242" s="320">
        <f t="shared" si="55"/>
      </c>
      <c r="C242" s="321">
        <f t="shared" si="56"/>
      </c>
      <c r="D242" s="147">
        <f t="shared" si="62"/>
      </c>
      <c r="E242" s="321">
        <f t="shared" si="63"/>
      </c>
      <c r="F242" s="321">
        <f t="shared" si="57"/>
      </c>
      <c r="G242" s="424">
        <v>0</v>
      </c>
      <c r="H242" s="321">
        <f t="shared" si="58"/>
      </c>
      <c r="I242" s="425"/>
      <c r="J242" s="422"/>
      <c r="K242" s="374"/>
      <c r="L242" s="308">
        <f t="shared" si="52"/>
      </c>
      <c r="M242" s="426">
        <f t="shared" si="59"/>
      </c>
      <c r="N242" s="426">
        <f t="shared" si="60"/>
      </c>
      <c r="O242" s="426">
        <f t="shared" si="61"/>
      </c>
      <c r="P242" s="374"/>
      <c r="Q242" s="427"/>
    </row>
    <row r="243" spans="2:17" ht="15">
      <c r="B243" s="320">
        <f t="shared" si="55"/>
      </c>
      <c r="C243" s="321">
        <f t="shared" si="56"/>
      </c>
      <c r="D243" s="147">
        <f t="shared" si="62"/>
      </c>
      <c r="E243" s="321">
        <f t="shared" si="63"/>
      </c>
      <c r="F243" s="321">
        <f t="shared" si="57"/>
      </c>
      <c r="G243" s="424">
        <v>0</v>
      </c>
      <c r="H243" s="321">
        <f t="shared" si="58"/>
      </c>
      <c r="I243" s="425"/>
      <c r="J243" s="422"/>
      <c r="K243" s="374"/>
      <c r="L243" s="308">
        <f t="shared" si="52"/>
      </c>
      <c r="M243" s="426">
        <f t="shared" si="59"/>
      </c>
      <c r="N243" s="426">
        <f t="shared" si="60"/>
      </c>
      <c r="O243" s="426">
        <f t="shared" si="61"/>
      </c>
      <c r="P243" s="374"/>
      <c r="Q243" s="427"/>
    </row>
    <row r="244" spans="2:17" ht="15">
      <c r="B244" s="320">
        <f t="shared" si="55"/>
      </c>
      <c r="C244" s="321">
        <f t="shared" si="56"/>
      </c>
      <c r="D244" s="147">
        <f t="shared" si="62"/>
      </c>
      <c r="E244" s="321">
        <f t="shared" si="63"/>
      </c>
      <c r="F244" s="321">
        <f t="shared" si="57"/>
      </c>
      <c r="G244" s="424">
        <v>0</v>
      </c>
      <c r="H244" s="321">
        <f t="shared" si="58"/>
      </c>
      <c r="I244" s="425"/>
      <c r="J244" s="422"/>
      <c r="K244" s="374"/>
      <c r="L244" s="308">
        <f t="shared" si="52"/>
      </c>
      <c r="M244" s="426">
        <f t="shared" si="59"/>
      </c>
      <c r="N244" s="426">
        <f t="shared" si="60"/>
      </c>
      <c r="O244" s="426">
        <f t="shared" si="61"/>
      </c>
      <c r="P244" s="374"/>
      <c r="Q244" s="427"/>
    </row>
    <row r="245" spans="2:17" ht="15">
      <c r="B245" s="320">
        <f t="shared" si="55"/>
      </c>
      <c r="C245" s="321">
        <f t="shared" si="56"/>
      </c>
      <c r="D245" s="147">
        <f t="shared" si="62"/>
      </c>
      <c r="E245" s="321">
        <f t="shared" si="63"/>
      </c>
      <c r="F245" s="321">
        <f t="shared" si="57"/>
      </c>
      <c r="G245" s="424">
        <v>0</v>
      </c>
      <c r="H245" s="321">
        <f t="shared" si="58"/>
      </c>
      <c r="I245" s="425"/>
      <c r="J245" s="422"/>
      <c r="K245" s="374"/>
      <c r="L245" s="308">
        <f t="shared" si="52"/>
      </c>
      <c r="M245" s="426">
        <f t="shared" si="59"/>
      </c>
      <c r="N245" s="426">
        <f t="shared" si="60"/>
      </c>
      <c r="O245" s="426">
        <f t="shared" si="61"/>
      </c>
      <c r="P245" s="374"/>
      <c r="Q245" s="427"/>
    </row>
    <row r="246" spans="2:17" ht="15">
      <c r="B246" s="320">
        <f t="shared" si="55"/>
      </c>
      <c r="C246" s="321">
        <f t="shared" si="56"/>
      </c>
      <c r="D246" s="147">
        <f t="shared" si="62"/>
      </c>
      <c r="E246" s="321">
        <f t="shared" si="63"/>
      </c>
      <c r="F246" s="321">
        <f t="shared" si="57"/>
      </c>
      <c r="G246" s="424">
        <v>0</v>
      </c>
      <c r="H246" s="321">
        <f t="shared" si="58"/>
      </c>
      <c r="I246" s="425"/>
      <c r="J246" s="422"/>
      <c r="K246" s="374"/>
      <c r="L246" s="308">
        <f t="shared" si="52"/>
      </c>
      <c r="M246" s="426">
        <f t="shared" si="59"/>
      </c>
      <c r="N246" s="426">
        <f t="shared" si="60"/>
      </c>
      <c r="O246" s="426">
        <f t="shared" si="61"/>
      </c>
      <c r="P246" s="374"/>
      <c r="Q246" s="427"/>
    </row>
    <row r="247" spans="2:17" ht="15">
      <c r="B247" s="320">
        <f t="shared" si="55"/>
      </c>
      <c r="C247" s="321">
        <f t="shared" si="56"/>
      </c>
      <c r="D247" s="147">
        <f t="shared" si="62"/>
      </c>
      <c r="E247" s="321">
        <f t="shared" si="63"/>
      </c>
      <c r="F247" s="321">
        <f t="shared" si="57"/>
      </c>
      <c r="G247" s="424">
        <v>0</v>
      </c>
      <c r="H247" s="321">
        <f t="shared" si="58"/>
      </c>
      <c r="I247" s="425"/>
      <c r="J247" s="422"/>
      <c r="K247" s="374"/>
      <c r="L247" s="308">
        <f t="shared" si="52"/>
      </c>
      <c r="M247" s="426">
        <f t="shared" si="59"/>
      </c>
      <c r="N247" s="426">
        <f t="shared" si="60"/>
      </c>
      <c r="O247" s="426">
        <f t="shared" si="61"/>
      </c>
      <c r="P247" s="374"/>
      <c r="Q247" s="427"/>
    </row>
    <row r="248" spans="2:17" ht="15">
      <c r="B248" s="320">
        <f t="shared" si="55"/>
      </c>
      <c r="C248" s="321">
        <f t="shared" si="56"/>
      </c>
      <c r="D248" s="147">
        <f t="shared" si="62"/>
      </c>
      <c r="E248" s="321">
        <f t="shared" si="63"/>
      </c>
      <c r="F248" s="321">
        <f t="shared" si="57"/>
      </c>
      <c r="G248" s="424">
        <v>0</v>
      </c>
      <c r="H248" s="321">
        <f t="shared" si="58"/>
      </c>
      <c r="I248" s="425"/>
      <c r="J248" s="422"/>
      <c r="K248" s="374"/>
      <c r="L248" s="308">
        <f t="shared" si="52"/>
      </c>
      <c r="M248" s="426">
        <f t="shared" si="59"/>
      </c>
      <c r="N248" s="426">
        <f t="shared" si="60"/>
      </c>
      <c r="O248" s="426">
        <f t="shared" si="61"/>
      </c>
      <c r="P248" s="374"/>
      <c r="Q248" s="427"/>
    </row>
    <row r="249" spans="2:17" ht="15">
      <c r="B249" s="320">
        <f t="shared" si="55"/>
      </c>
      <c r="C249" s="321">
        <f t="shared" si="56"/>
      </c>
      <c r="D249" s="147">
        <f t="shared" si="62"/>
      </c>
      <c r="E249" s="321">
        <f t="shared" si="63"/>
      </c>
      <c r="F249" s="321">
        <f t="shared" si="57"/>
      </c>
      <c r="G249" s="424">
        <v>0</v>
      </c>
      <c r="H249" s="321">
        <f t="shared" si="58"/>
      </c>
      <c r="I249" s="425"/>
      <c r="J249" s="422"/>
      <c r="K249" s="374"/>
      <c r="L249" s="308">
        <f t="shared" si="52"/>
      </c>
      <c r="M249" s="426">
        <f t="shared" si="59"/>
      </c>
      <c r="N249" s="426">
        <f t="shared" si="60"/>
      </c>
      <c r="O249" s="426">
        <f t="shared" si="61"/>
      </c>
      <c r="P249" s="374"/>
      <c r="Q249" s="427"/>
    </row>
    <row r="250" spans="2:17" ht="15">
      <c r="B250" s="320">
        <f t="shared" si="55"/>
      </c>
      <c r="C250" s="321">
        <f t="shared" si="56"/>
      </c>
      <c r="D250" s="147">
        <f t="shared" si="62"/>
      </c>
      <c r="E250" s="321">
        <f t="shared" si="63"/>
      </c>
      <c r="F250" s="321">
        <f t="shared" si="57"/>
      </c>
      <c r="G250" s="424">
        <v>0</v>
      </c>
      <c r="H250" s="321">
        <f t="shared" si="58"/>
      </c>
      <c r="I250" s="425"/>
      <c r="J250" s="422"/>
      <c r="K250" s="374"/>
      <c r="L250" s="308">
        <f t="shared" si="52"/>
      </c>
      <c r="M250" s="426">
        <f t="shared" si="59"/>
      </c>
      <c r="N250" s="426">
        <f t="shared" si="60"/>
      </c>
      <c r="O250" s="426">
        <f t="shared" si="61"/>
      </c>
      <c r="P250" s="374"/>
      <c r="Q250" s="427"/>
    </row>
    <row r="251" spans="2:17" ht="15">
      <c r="B251" s="320">
        <f t="shared" si="55"/>
      </c>
      <c r="C251" s="321">
        <f t="shared" si="56"/>
      </c>
      <c r="D251" s="147">
        <f t="shared" si="62"/>
      </c>
      <c r="E251" s="321">
        <f t="shared" si="63"/>
      </c>
      <c r="F251" s="321">
        <f t="shared" si="57"/>
      </c>
      <c r="G251" s="424">
        <v>0</v>
      </c>
      <c r="H251" s="321">
        <f t="shared" si="58"/>
      </c>
      <c r="I251" s="425"/>
      <c r="J251" s="422"/>
      <c r="K251" s="374"/>
      <c r="L251" s="308">
        <f t="shared" si="52"/>
      </c>
      <c r="M251" s="426">
        <f t="shared" si="59"/>
      </c>
      <c r="N251" s="426">
        <f t="shared" si="60"/>
      </c>
      <c r="O251" s="426">
        <f t="shared" si="61"/>
      </c>
      <c r="P251" s="374"/>
      <c r="Q251" s="427"/>
    </row>
    <row r="252" spans="2:17" ht="15">
      <c r="B252" s="320">
        <f t="shared" si="55"/>
      </c>
      <c r="C252" s="321">
        <f t="shared" si="56"/>
      </c>
      <c r="D252" s="147">
        <f t="shared" si="62"/>
      </c>
      <c r="E252" s="321">
        <f t="shared" si="63"/>
      </c>
      <c r="F252" s="321">
        <f t="shared" si="57"/>
      </c>
      <c r="G252" s="424">
        <v>0</v>
      </c>
      <c r="H252" s="321">
        <f t="shared" si="58"/>
      </c>
      <c r="I252" s="425"/>
      <c r="J252" s="422"/>
      <c r="K252" s="374"/>
      <c r="L252" s="308">
        <f t="shared" si="52"/>
      </c>
      <c r="M252" s="426">
        <f t="shared" si="59"/>
      </c>
      <c r="N252" s="426">
        <f t="shared" si="60"/>
      </c>
      <c r="O252" s="426">
        <f t="shared" si="61"/>
      </c>
      <c r="P252" s="374"/>
      <c r="Q252" s="427"/>
    </row>
    <row r="253" spans="2:17" ht="15">
      <c r="B253" s="320">
        <f aca="true" t="shared" si="64" ref="B253:B260">IF(H252=0,"",1+B252)</f>
      </c>
      <c r="C253" s="321">
        <f aca="true" t="shared" si="65" ref="C253:C260">IF(H252=0,"",ROUND(H252,2))</f>
      </c>
      <c r="D253" s="147">
        <f t="shared" si="62"/>
      </c>
      <c r="E253" s="321">
        <f t="shared" si="63"/>
      </c>
      <c r="F253" s="321">
        <f aca="true" t="shared" si="66" ref="F253:F260">IF(H252=0,"",D253-E253+G253)</f>
      </c>
      <c r="G253" s="424">
        <v>0</v>
      </c>
      <c r="H253" s="321">
        <f aca="true" t="shared" si="67" ref="H253:H260">IF(H252=0,"",ROUND(C253-F253,2))</f>
      </c>
      <c r="I253" s="425"/>
      <c r="J253" s="422"/>
      <c r="K253" s="374"/>
      <c r="L253" s="308">
        <f aca="true" t="shared" si="68" ref="L253:L260">B253</f>
      </c>
      <c r="M253" s="426">
        <f aca="true" t="shared" si="69" ref="M253:M260">IF(H252=0,"",D253+G253+M252)</f>
      </c>
      <c r="N253" s="426">
        <f aca="true" t="shared" si="70" ref="N253:N260">IF(H252=0,"",N252+E253)</f>
      </c>
      <c r="O253" s="426">
        <f aca="true" t="shared" si="71" ref="O253:O260">IF(H252=0,"",M253-N253)</f>
      </c>
      <c r="P253" s="374"/>
      <c r="Q253" s="427"/>
    </row>
    <row r="254" spans="2:17" ht="15">
      <c r="B254" s="320">
        <f t="shared" si="64"/>
      </c>
      <c r="C254" s="321">
        <f t="shared" si="65"/>
      </c>
      <c r="D254" s="147">
        <f t="shared" si="62"/>
      </c>
      <c r="E254" s="321">
        <f t="shared" si="63"/>
      </c>
      <c r="F254" s="321">
        <f t="shared" si="66"/>
      </c>
      <c r="G254" s="424">
        <v>0</v>
      </c>
      <c r="H254" s="321">
        <f t="shared" si="67"/>
      </c>
      <c r="I254" s="425"/>
      <c r="J254" s="422"/>
      <c r="K254" s="374"/>
      <c r="L254" s="308">
        <f t="shared" si="68"/>
      </c>
      <c r="M254" s="426">
        <f t="shared" si="69"/>
      </c>
      <c r="N254" s="426">
        <f t="shared" si="70"/>
      </c>
      <c r="O254" s="426">
        <f t="shared" si="71"/>
      </c>
      <c r="P254" s="374"/>
      <c r="Q254" s="427"/>
    </row>
    <row r="255" spans="2:17" ht="15">
      <c r="B255" s="320">
        <f t="shared" si="64"/>
      </c>
      <c r="C255" s="321">
        <f t="shared" si="65"/>
      </c>
      <c r="D255" s="147">
        <f t="shared" si="62"/>
      </c>
      <c r="E255" s="321">
        <f t="shared" si="63"/>
      </c>
      <c r="F255" s="321">
        <f t="shared" si="66"/>
      </c>
      <c r="G255" s="424">
        <v>0</v>
      </c>
      <c r="H255" s="321">
        <f t="shared" si="67"/>
      </c>
      <c r="I255" s="425"/>
      <c r="J255" s="422"/>
      <c r="K255" s="374"/>
      <c r="L255" s="308">
        <f t="shared" si="68"/>
      </c>
      <c r="M255" s="426">
        <f t="shared" si="69"/>
      </c>
      <c r="N255" s="426">
        <f t="shared" si="70"/>
      </c>
      <c r="O255" s="426">
        <f t="shared" si="71"/>
      </c>
      <c r="P255" s="374"/>
      <c r="Q255" s="427"/>
    </row>
    <row r="256" spans="2:17" ht="15">
      <c r="B256" s="320">
        <f t="shared" si="64"/>
      </c>
      <c r="C256" s="321">
        <f t="shared" si="65"/>
      </c>
      <c r="D256" s="147">
        <f t="shared" si="62"/>
      </c>
      <c r="E256" s="321">
        <f t="shared" si="63"/>
      </c>
      <c r="F256" s="321">
        <f t="shared" si="66"/>
      </c>
      <c r="G256" s="424">
        <v>0</v>
      </c>
      <c r="H256" s="321">
        <f t="shared" si="67"/>
      </c>
      <c r="I256" s="425"/>
      <c r="J256" s="422"/>
      <c r="K256" s="374"/>
      <c r="L256" s="308">
        <f t="shared" si="68"/>
      </c>
      <c r="M256" s="426">
        <f t="shared" si="69"/>
      </c>
      <c r="N256" s="426">
        <f t="shared" si="70"/>
      </c>
      <c r="O256" s="426">
        <f t="shared" si="71"/>
      </c>
      <c r="P256" s="374"/>
      <c r="Q256" s="427"/>
    </row>
    <row r="257" spans="2:17" ht="15">
      <c r="B257" s="320">
        <f t="shared" si="64"/>
      </c>
      <c r="C257" s="321">
        <f t="shared" si="65"/>
      </c>
      <c r="D257" s="147">
        <f t="shared" si="62"/>
      </c>
      <c r="E257" s="321">
        <f t="shared" si="63"/>
      </c>
      <c r="F257" s="321">
        <f t="shared" si="66"/>
      </c>
      <c r="G257" s="424">
        <v>0</v>
      </c>
      <c r="H257" s="321">
        <f t="shared" si="67"/>
      </c>
      <c r="I257" s="425"/>
      <c r="J257" s="422"/>
      <c r="K257" s="374"/>
      <c r="L257" s="308">
        <f t="shared" si="68"/>
      </c>
      <c r="M257" s="426">
        <f t="shared" si="69"/>
      </c>
      <c r="N257" s="426">
        <f t="shared" si="70"/>
      </c>
      <c r="O257" s="426">
        <f t="shared" si="71"/>
      </c>
      <c r="P257" s="374"/>
      <c r="Q257" s="427"/>
    </row>
    <row r="258" spans="2:17" ht="15">
      <c r="B258" s="320">
        <f t="shared" si="64"/>
      </c>
      <c r="C258" s="321">
        <f t="shared" si="65"/>
      </c>
      <c r="D258" s="147">
        <f t="shared" si="62"/>
      </c>
      <c r="E258" s="321">
        <f t="shared" si="63"/>
      </c>
      <c r="F258" s="321">
        <f t="shared" si="66"/>
      </c>
      <c r="G258" s="424">
        <v>0</v>
      </c>
      <c r="H258" s="321">
        <f t="shared" si="67"/>
      </c>
      <c r="I258" s="425"/>
      <c r="J258" s="422"/>
      <c r="K258" s="374"/>
      <c r="L258" s="308">
        <f t="shared" si="68"/>
      </c>
      <c r="M258" s="426">
        <f t="shared" si="69"/>
      </c>
      <c r="N258" s="426">
        <f t="shared" si="70"/>
      </c>
      <c r="O258" s="426">
        <f t="shared" si="71"/>
      </c>
      <c r="P258" s="374"/>
      <c r="Q258" s="427"/>
    </row>
    <row r="259" spans="2:17" ht="15">
      <c r="B259" s="320">
        <f t="shared" si="64"/>
      </c>
      <c r="C259" s="321">
        <f t="shared" si="65"/>
      </c>
      <c r="D259" s="147">
        <f t="shared" si="62"/>
      </c>
      <c r="E259" s="321">
        <f t="shared" si="63"/>
      </c>
      <c r="F259" s="321">
        <f t="shared" si="66"/>
      </c>
      <c r="G259" s="424">
        <v>0</v>
      </c>
      <c r="H259" s="321">
        <f t="shared" si="67"/>
      </c>
      <c r="I259" s="425"/>
      <c r="J259" s="422"/>
      <c r="K259" s="374"/>
      <c r="L259" s="308">
        <f t="shared" si="68"/>
      </c>
      <c r="M259" s="426">
        <f t="shared" si="69"/>
      </c>
      <c r="N259" s="426">
        <f t="shared" si="70"/>
      </c>
      <c r="O259" s="426">
        <f t="shared" si="71"/>
      </c>
      <c r="P259" s="374"/>
      <c r="Q259" s="427"/>
    </row>
    <row r="260" spans="2:17" ht="15">
      <c r="B260" s="320">
        <f t="shared" si="64"/>
      </c>
      <c r="C260" s="321">
        <f t="shared" si="65"/>
      </c>
      <c r="D260" s="147">
        <f t="shared" si="62"/>
      </c>
      <c r="E260" s="321">
        <f t="shared" si="63"/>
      </c>
      <c r="F260" s="321">
        <f t="shared" si="66"/>
      </c>
      <c r="G260" s="424">
        <v>0</v>
      </c>
      <c r="H260" s="321">
        <f t="shared" si="67"/>
      </c>
      <c r="I260" s="425"/>
      <c r="J260" s="422"/>
      <c r="K260" s="374"/>
      <c r="L260" s="308">
        <f t="shared" si="68"/>
      </c>
      <c r="M260" s="426">
        <f t="shared" si="69"/>
      </c>
      <c r="N260" s="426">
        <f t="shared" si="70"/>
      </c>
      <c r="O260" s="426">
        <f t="shared" si="71"/>
      </c>
      <c r="P260" s="374"/>
      <c r="Q260" s="427"/>
    </row>
    <row r="261" spans="2:17" ht="15.75" thickBot="1">
      <c r="B261" s="322"/>
      <c r="C261" s="323"/>
      <c r="D261" s="323"/>
      <c r="E261" s="323">
        <f>SUM(E171:E182)</f>
        <v>1208.4799999999998</v>
      </c>
      <c r="F261" s="323"/>
      <c r="G261" s="323"/>
      <c r="H261" s="323"/>
      <c r="I261" s="323"/>
      <c r="J261" s="323"/>
      <c r="K261" s="323"/>
      <c r="L261" s="323"/>
      <c r="M261" s="323"/>
      <c r="N261" s="323"/>
      <c r="O261" s="323"/>
      <c r="P261" s="323"/>
      <c r="Q261" s="324"/>
    </row>
  </sheetData>
  <sheetProtection/>
  <dataValidations count="1">
    <dataValidation type="list" allowBlank="1" showInputMessage="1" showErrorMessage="1" sqref="B18">
      <formula1>$P$6:$P$16</formula1>
    </dataValidation>
  </dataValidations>
  <printOptions headings="1"/>
  <pageMargins left="0.5" right="0.5" top="0.5" bottom="0.5" header="0.5" footer="0.5"/>
  <pageSetup fitToHeight="1" fitToWidth="1" horizontalDpi="600" verticalDpi="600" orientation="landscape" scale="45" r:id="rId4"/>
  <headerFooter alignWithMargins="0">
    <oddFooter>&amp;CPrepared by Ray Massey, &amp;D</oddFooter>
  </headerFooter>
  <rowBreaks count="1" manualBreakCount="1">
    <brk id="56" max="13" man="1"/>
  </rowBreaks>
  <drawing r:id="rId3"/>
  <legacyDrawing r:id="rId2"/>
</worksheet>
</file>

<file path=xl/worksheets/sheet5.xml><?xml version="1.0" encoding="utf-8"?>
<worksheet xmlns="http://schemas.openxmlformats.org/spreadsheetml/2006/main" xmlns:r="http://schemas.openxmlformats.org/officeDocument/2006/relationships">
  <dimension ref="A1:Q91"/>
  <sheetViews>
    <sheetView zoomScalePageLayoutView="0" workbookViewId="0" topLeftCell="A43">
      <selection activeCell="B47" sqref="B47"/>
    </sheetView>
  </sheetViews>
  <sheetFormatPr defaultColWidth="8.8515625" defaultRowHeight="12.75"/>
  <cols>
    <col min="1" max="1" width="2.140625" style="3" customWidth="1"/>
    <col min="2" max="2" width="43.57421875" style="3" customWidth="1"/>
    <col min="3" max="7" width="10.7109375" style="3" customWidth="1"/>
    <col min="8" max="8" width="8.8515625" style="3" customWidth="1"/>
    <col min="9" max="9" width="23.421875" style="3" customWidth="1"/>
    <col min="10" max="10" width="5.140625" style="3" customWidth="1"/>
    <col min="11" max="11" width="3.421875" style="3" customWidth="1"/>
    <col min="12" max="12" width="6.28125" style="3" customWidth="1"/>
    <col min="13" max="15" width="15.28125" style="3" customWidth="1"/>
    <col min="16" max="16384" width="8.8515625" style="3" customWidth="1"/>
  </cols>
  <sheetData>
    <row r="1" spans="2:7" ht="23.25">
      <c r="B1" s="4" t="s">
        <v>64</v>
      </c>
      <c r="C1" s="5"/>
      <c r="D1" s="5"/>
      <c r="E1" s="5"/>
      <c r="F1" s="1"/>
      <c r="G1" s="1"/>
    </row>
    <row r="2" ht="15.75" customHeight="1">
      <c r="B2" s="6" t="s">
        <v>65</v>
      </c>
    </row>
    <row r="3" spans="2:7" ht="24">
      <c r="B3" s="482"/>
      <c r="C3" s="483" t="s">
        <v>99</v>
      </c>
      <c r="D3" s="483" t="s">
        <v>135</v>
      </c>
      <c r="E3" s="483" t="s">
        <v>136</v>
      </c>
      <c r="F3" s="483" t="s">
        <v>294</v>
      </c>
      <c r="G3" s="483" t="s">
        <v>100</v>
      </c>
    </row>
    <row r="4" spans="2:7" ht="12.75">
      <c r="B4" s="466" t="s">
        <v>91</v>
      </c>
      <c r="C4" s="9">
        <v>175000</v>
      </c>
      <c r="D4" s="9">
        <v>100000</v>
      </c>
      <c r="E4" s="9">
        <v>35000</v>
      </c>
      <c r="F4" s="9">
        <v>175000</v>
      </c>
      <c r="G4" s="9">
        <v>0</v>
      </c>
    </row>
    <row r="5" spans="2:7" ht="12.75">
      <c r="B5" s="478" t="s">
        <v>92</v>
      </c>
      <c r="C5" s="9">
        <f>C4*0.32</f>
        <v>56000</v>
      </c>
      <c r="D5" s="9">
        <v>25000</v>
      </c>
      <c r="E5" s="9">
        <v>15000</v>
      </c>
      <c r="F5" s="9">
        <v>65000</v>
      </c>
      <c r="G5" s="9"/>
    </row>
    <row r="6" spans="2:7" ht="12.75">
      <c r="B6" s="466" t="s">
        <v>93</v>
      </c>
      <c r="C6" s="9">
        <v>35000</v>
      </c>
      <c r="D6" s="9">
        <v>35000</v>
      </c>
      <c r="E6" s="9">
        <v>0</v>
      </c>
      <c r="F6" s="9">
        <v>35000</v>
      </c>
      <c r="G6" s="9">
        <v>35000</v>
      </c>
    </row>
    <row r="7" spans="2:7" ht="12.75">
      <c r="B7" s="466" t="s">
        <v>94</v>
      </c>
      <c r="C7" s="9">
        <v>5</v>
      </c>
      <c r="D7" s="9">
        <v>4</v>
      </c>
      <c r="E7" s="9">
        <v>3</v>
      </c>
      <c r="F7" s="9">
        <v>5</v>
      </c>
      <c r="G7" s="9">
        <v>0</v>
      </c>
    </row>
    <row r="8" spans="2:7" ht="12.75">
      <c r="B8" s="466" t="s">
        <v>95</v>
      </c>
      <c r="C8" s="10">
        <v>0</v>
      </c>
      <c r="D8" s="9">
        <v>2000</v>
      </c>
      <c r="E8" s="9">
        <v>2000</v>
      </c>
      <c r="F8" s="9">
        <v>0</v>
      </c>
      <c r="G8" s="9"/>
    </row>
    <row r="9" spans="2:7" ht="12.75">
      <c r="B9" s="466" t="s">
        <v>67</v>
      </c>
      <c r="C9" s="9">
        <v>1200</v>
      </c>
      <c r="D9" s="9">
        <v>1200</v>
      </c>
      <c r="E9" s="9">
        <v>1200</v>
      </c>
      <c r="F9" s="9">
        <v>1200</v>
      </c>
      <c r="G9" s="9">
        <v>1200</v>
      </c>
    </row>
    <row r="10" spans="2:7" ht="12.75">
      <c r="B10" s="466" t="s">
        <v>293</v>
      </c>
      <c r="C10" s="11">
        <f>C9/C12</f>
        <v>285.7142857142857</v>
      </c>
      <c r="D10" s="11">
        <f>D9/D12</f>
        <v>285.7142857142857</v>
      </c>
      <c r="E10" s="11">
        <f>E9/E12</f>
        <v>285.7142857142857</v>
      </c>
      <c r="F10" s="11">
        <f>F9/F12</f>
        <v>285.7142857142857</v>
      </c>
      <c r="G10" s="12"/>
    </row>
    <row r="11" spans="2:7" ht="12.75">
      <c r="B11" s="479" t="s">
        <v>96</v>
      </c>
      <c r="C11" s="13">
        <f>C10*C7</f>
        <v>1428.5714285714287</v>
      </c>
      <c r="D11" s="14">
        <f>(D10*D7)+D8</f>
        <v>3142.857142857143</v>
      </c>
      <c r="E11" s="14">
        <f>(E10*E7)+E8</f>
        <v>2857.142857142857</v>
      </c>
      <c r="F11" s="14">
        <f>(F10*F7)+F8</f>
        <v>1428.5714285714287</v>
      </c>
      <c r="G11" s="12"/>
    </row>
    <row r="12" spans="2:7" ht="12.75">
      <c r="B12" s="467" t="s">
        <v>97</v>
      </c>
      <c r="C12" s="15">
        <v>4.2</v>
      </c>
      <c r="D12" s="15">
        <v>4.2</v>
      </c>
      <c r="E12" s="15">
        <v>4.2</v>
      </c>
      <c r="F12" s="15">
        <v>4.2</v>
      </c>
      <c r="G12" s="16"/>
    </row>
    <row r="13" spans="2:7" ht="24">
      <c r="B13" s="17"/>
      <c r="C13" s="483" t="s">
        <v>99</v>
      </c>
      <c r="D13" s="483" t="s">
        <v>135</v>
      </c>
      <c r="E13" s="483" t="s">
        <v>136</v>
      </c>
      <c r="F13" s="483" t="s">
        <v>294</v>
      </c>
      <c r="G13" s="483" t="s">
        <v>100</v>
      </c>
    </row>
    <row r="14" spans="2:7" ht="12.75">
      <c r="B14" s="466" t="s">
        <v>98</v>
      </c>
      <c r="C14" s="18">
        <v>0.5</v>
      </c>
      <c r="D14" s="18">
        <v>0.5</v>
      </c>
      <c r="E14" s="18">
        <v>0.5</v>
      </c>
      <c r="F14" s="19">
        <v>0.5</v>
      </c>
      <c r="G14" s="474" t="s">
        <v>76</v>
      </c>
    </row>
    <row r="15" spans="2:7" ht="12.75">
      <c r="B15" s="466" t="s">
        <v>101</v>
      </c>
      <c r="C15" s="9">
        <v>40</v>
      </c>
      <c r="D15" s="20">
        <v>40</v>
      </c>
      <c r="E15" s="20">
        <v>40</v>
      </c>
      <c r="F15" s="21">
        <v>40</v>
      </c>
      <c r="G15" s="22" t="s">
        <v>77</v>
      </c>
    </row>
    <row r="16" spans="2:7" ht="13.5" thickBot="1">
      <c r="B16" s="466" t="s">
        <v>102</v>
      </c>
      <c r="C16" s="23">
        <f>C17/C7</f>
        <v>3255.0000000000005</v>
      </c>
      <c r="D16" s="23">
        <f>D17/D7</f>
        <v>2187.5</v>
      </c>
      <c r="E16" s="23">
        <f>E17/E7</f>
        <v>10500</v>
      </c>
      <c r="F16" s="24">
        <f>F17/F7</f>
        <v>3255.0000000000005</v>
      </c>
      <c r="G16" s="25">
        <v>34</v>
      </c>
    </row>
    <row r="17" spans="2:17" ht="12.75">
      <c r="B17" s="466" t="s">
        <v>103</v>
      </c>
      <c r="C17" s="23">
        <f>C4*C18/100</f>
        <v>16275.000000000002</v>
      </c>
      <c r="D17" s="23">
        <f>C4*D18/100</f>
        <v>8750</v>
      </c>
      <c r="E17" s="23">
        <f>C4*E18/100</f>
        <v>31500</v>
      </c>
      <c r="F17" s="23">
        <f>C4*F18/100</f>
        <v>16275.000000000002</v>
      </c>
      <c r="G17" s="26"/>
      <c r="I17" s="27"/>
      <c r="J17" s="27"/>
      <c r="K17" s="27"/>
      <c r="L17" s="27"/>
      <c r="M17" s="27"/>
      <c r="N17" s="27"/>
      <c r="O17" s="27"/>
      <c r="P17" s="27"/>
      <c r="Q17" s="27"/>
    </row>
    <row r="18" spans="2:17" ht="12.75">
      <c r="B18" s="468" t="s">
        <v>68</v>
      </c>
      <c r="C18" s="28">
        <v>9.3</v>
      </c>
      <c r="D18" s="28">
        <v>5</v>
      </c>
      <c r="E18" s="28">
        <f>36-18</f>
        <v>18</v>
      </c>
      <c r="F18" s="28">
        <f>9.3</f>
        <v>9.3</v>
      </c>
      <c r="G18" s="29"/>
      <c r="I18" s="27"/>
      <c r="J18" s="27"/>
      <c r="K18" s="27"/>
      <c r="L18" s="27"/>
      <c r="M18" s="27"/>
      <c r="N18" s="27"/>
      <c r="O18" s="27"/>
      <c r="P18" s="27"/>
      <c r="Q18" s="27"/>
    </row>
    <row r="19" spans="2:17" ht="12.75">
      <c r="B19" s="466" t="s">
        <v>104</v>
      </c>
      <c r="C19" s="30">
        <v>5000</v>
      </c>
      <c r="D19" s="29">
        <v>5000</v>
      </c>
      <c r="E19" s="29">
        <v>0</v>
      </c>
      <c r="F19" s="29">
        <v>5000</v>
      </c>
      <c r="G19" s="29"/>
      <c r="I19" s="27"/>
      <c r="J19" s="27"/>
      <c r="K19" s="27"/>
      <c r="L19" s="27"/>
      <c r="M19" s="27"/>
      <c r="N19" s="27"/>
      <c r="O19" s="27"/>
      <c r="P19" s="27"/>
      <c r="Q19" s="27"/>
    </row>
    <row r="20" spans="2:17" ht="12.75" customHeight="1">
      <c r="B20" s="466" t="s">
        <v>105</v>
      </c>
      <c r="C20" s="31">
        <f>(C4-C6-C19)</f>
        <v>135000</v>
      </c>
      <c r="D20" s="31">
        <f>(D4-D6-D19)</f>
        <v>60000</v>
      </c>
      <c r="E20" s="31"/>
      <c r="F20" s="31"/>
      <c r="G20" s="31"/>
      <c r="I20" s="32"/>
      <c r="J20" s="32"/>
      <c r="K20" s="27"/>
      <c r="L20" s="33"/>
      <c r="M20" s="34"/>
      <c r="N20" s="35"/>
      <c r="O20" s="27"/>
      <c r="P20" s="27"/>
      <c r="Q20" s="27"/>
    </row>
    <row r="21" spans="2:17" ht="12.75">
      <c r="B21" s="468" t="s">
        <v>106</v>
      </c>
      <c r="C21" s="30">
        <v>28618</v>
      </c>
      <c r="D21" s="30">
        <v>12719</v>
      </c>
      <c r="E21" s="30"/>
      <c r="F21" s="29"/>
      <c r="G21" s="29"/>
      <c r="I21" s="36"/>
      <c r="J21" s="27"/>
      <c r="K21" s="27"/>
      <c r="L21" s="27"/>
      <c r="M21" s="37"/>
      <c r="N21" s="37"/>
      <c r="O21" s="37"/>
      <c r="P21" s="27"/>
      <c r="Q21" s="27"/>
    </row>
    <row r="22" spans="2:17" ht="12.75">
      <c r="B22" s="466" t="s">
        <v>107</v>
      </c>
      <c r="C22" s="30">
        <v>40904</v>
      </c>
      <c r="D22" s="29">
        <v>18179</v>
      </c>
      <c r="E22" s="29">
        <v>0</v>
      </c>
      <c r="F22" s="29">
        <v>29325</v>
      </c>
      <c r="G22" s="20"/>
      <c r="I22" s="38"/>
      <c r="J22" s="39"/>
      <c r="K22" s="27"/>
      <c r="L22" s="40"/>
      <c r="M22" s="41"/>
      <c r="N22" s="42"/>
      <c r="O22" s="42"/>
      <c r="P22" s="27"/>
      <c r="Q22" s="27"/>
    </row>
    <row r="23" spans="2:17" ht="12.75">
      <c r="B23" s="467" t="s">
        <v>108</v>
      </c>
      <c r="C23" s="43">
        <v>0.06</v>
      </c>
      <c r="D23" s="43">
        <v>0.06</v>
      </c>
      <c r="E23" s="43">
        <v>0.06</v>
      </c>
      <c r="F23" s="43">
        <v>0.06</v>
      </c>
      <c r="G23" s="43">
        <v>0.06</v>
      </c>
      <c r="I23" s="38"/>
      <c r="J23" s="39"/>
      <c r="K23" s="27"/>
      <c r="L23" s="40"/>
      <c r="M23" s="41"/>
      <c r="N23" s="44"/>
      <c r="O23" s="44"/>
      <c r="P23" s="27"/>
      <c r="Q23" s="27"/>
    </row>
    <row r="24" spans="2:17" ht="24">
      <c r="B24" s="469" t="s">
        <v>109</v>
      </c>
      <c r="C24" s="483" t="s">
        <v>99</v>
      </c>
      <c r="D24" s="483" t="s">
        <v>135</v>
      </c>
      <c r="E24" s="483" t="s">
        <v>136</v>
      </c>
      <c r="F24" s="483" t="s">
        <v>294</v>
      </c>
      <c r="G24" s="483" t="s">
        <v>100</v>
      </c>
      <c r="I24" s="38"/>
      <c r="J24" s="39"/>
      <c r="K24" s="27"/>
      <c r="L24" s="27"/>
      <c r="M24" s="45"/>
      <c r="N24" s="44"/>
      <c r="O24" s="44"/>
      <c r="P24" s="27"/>
      <c r="Q24" s="27"/>
    </row>
    <row r="25" spans="2:17" ht="12.75">
      <c r="B25" s="468" t="s">
        <v>110</v>
      </c>
      <c r="C25" s="14">
        <f>(C4-C5)/C7</f>
        <v>23800</v>
      </c>
      <c r="D25" s="14">
        <f>(D4-D5)/D7</f>
        <v>18750</v>
      </c>
      <c r="E25" s="14">
        <f>(E4-E5)/E7</f>
        <v>6666.666666666667</v>
      </c>
      <c r="F25" s="14">
        <f>(F4-F5)/F7</f>
        <v>22000</v>
      </c>
      <c r="G25" s="46"/>
      <c r="I25" s="38"/>
      <c r="J25" s="39"/>
      <c r="K25" s="27"/>
      <c r="L25" s="27"/>
      <c r="M25" s="45"/>
      <c r="N25" s="44"/>
      <c r="O25" s="44"/>
      <c r="P25" s="27"/>
      <c r="Q25" s="27"/>
    </row>
    <row r="26" spans="2:17" ht="12.75">
      <c r="B26" s="467" t="s">
        <v>111</v>
      </c>
      <c r="C26" s="14">
        <f>(C4+C6)/2*C23</f>
        <v>6300</v>
      </c>
      <c r="D26" s="14">
        <f>(D4+D6)/2*D23</f>
        <v>4050</v>
      </c>
      <c r="E26" s="14">
        <f>(E4+E6)/2*E23</f>
        <v>1050</v>
      </c>
      <c r="F26" s="14">
        <f>(F4+F6)/2*F23</f>
        <v>6300</v>
      </c>
      <c r="G26" s="47">
        <f>G23*G6</f>
        <v>2100</v>
      </c>
      <c r="I26" s="38"/>
      <c r="J26" s="39"/>
      <c r="K26" s="27"/>
      <c r="L26" s="27"/>
      <c r="M26" s="48"/>
      <c r="N26" s="44"/>
      <c r="O26" s="44"/>
      <c r="P26" s="27"/>
      <c r="Q26" s="27"/>
    </row>
    <row r="27" spans="2:17" ht="12.75">
      <c r="B27" s="466" t="s">
        <v>69</v>
      </c>
      <c r="C27" s="14">
        <f>C4*0.015</f>
        <v>2625</v>
      </c>
      <c r="D27" s="14">
        <f>D4*0.015</f>
        <v>1500</v>
      </c>
      <c r="E27" s="14">
        <f>E4*0.015</f>
        <v>525</v>
      </c>
      <c r="F27" s="14">
        <f>F4*0.015</f>
        <v>2625</v>
      </c>
      <c r="G27" s="46"/>
      <c r="I27" s="49"/>
      <c r="J27" s="27"/>
      <c r="K27" s="50"/>
      <c r="L27" s="51"/>
      <c r="M27" s="52"/>
      <c r="N27" s="52"/>
      <c r="O27" s="52"/>
      <c r="P27" s="27"/>
      <c r="Q27" s="27"/>
    </row>
    <row r="28" spans="2:17" ht="12.75">
      <c r="B28" s="53" t="s">
        <v>112</v>
      </c>
      <c r="C28" s="54">
        <f>SUM(C25:C27)</f>
        <v>32725</v>
      </c>
      <c r="D28" s="54">
        <f>SUM(D25:D27)</f>
        <v>24300</v>
      </c>
      <c r="E28" s="54">
        <f>SUM(E25:E27)</f>
        <v>8241.666666666668</v>
      </c>
      <c r="F28" s="54">
        <f>SUM(F25:F27)</f>
        <v>30925</v>
      </c>
      <c r="G28" s="8"/>
      <c r="I28" s="55"/>
      <c r="J28" s="39"/>
      <c r="K28" s="27"/>
      <c r="L28" s="27"/>
      <c r="M28" s="56"/>
      <c r="N28" s="56"/>
      <c r="O28" s="56"/>
      <c r="P28" s="27"/>
      <c r="Q28" s="27"/>
    </row>
    <row r="29" spans="2:17" ht="12.75">
      <c r="B29" s="470" t="s">
        <v>113</v>
      </c>
      <c r="C29" s="57"/>
      <c r="D29" s="57"/>
      <c r="E29" s="57"/>
      <c r="F29" s="57"/>
      <c r="G29" s="57"/>
      <c r="H29" s="58"/>
      <c r="I29" s="59"/>
      <c r="J29" s="60"/>
      <c r="K29" s="61"/>
      <c r="L29" s="61"/>
      <c r="M29" s="62"/>
      <c r="N29" s="62"/>
      <c r="O29" s="62"/>
      <c r="P29" s="63"/>
      <c r="Q29" s="27"/>
    </row>
    <row r="30" spans="2:17" ht="12.75">
      <c r="B30" s="466" t="s">
        <v>70</v>
      </c>
      <c r="C30" s="14">
        <f>C15*C10*C14*1.15</f>
        <v>6571.428571428572</v>
      </c>
      <c r="D30" s="14">
        <f>D15*D10*D14*1.15</f>
        <v>6571.428571428572</v>
      </c>
      <c r="E30" s="14">
        <f>E15*E10*E14*1.15</f>
        <v>6571.428571428572</v>
      </c>
      <c r="F30" s="14">
        <f>F15*F10*F14*1.15</f>
        <v>6571.428571428572</v>
      </c>
      <c r="G30" s="46"/>
      <c r="I30" s="55"/>
      <c r="J30" s="64"/>
      <c r="K30" s="27"/>
      <c r="L30" s="27"/>
      <c r="M30" s="65"/>
      <c r="N30" s="66"/>
      <c r="O30" s="66"/>
      <c r="P30" s="27"/>
      <c r="Q30" s="27"/>
    </row>
    <row r="31" spans="2:17" ht="12.75">
      <c r="B31" s="466" t="s">
        <v>71</v>
      </c>
      <c r="C31" s="67">
        <f>C16</f>
        <v>3255.0000000000005</v>
      </c>
      <c r="D31" s="67">
        <f>D16</f>
        <v>2187.5</v>
      </c>
      <c r="E31" s="67">
        <f>E16</f>
        <v>10500</v>
      </c>
      <c r="F31" s="67">
        <f>F16</f>
        <v>3255.0000000000005</v>
      </c>
      <c r="G31" s="46"/>
      <c r="I31" s="55"/>
      <c r="J31" s="39"/>
      <c r="K31" s="27"/>
      <c r="L31" s="27"/>
      <c r="M31" s="65"/>
      <c r="N31" s="66"/>
      <c r="O31" s="66"/>
      <c r="P31" s="27"/>
      <c r="Q31" s="27"/>
    </row>
    <row r="32" spans="2:7" ht="12.75">
      <c r="B32" s="466" t="s">
        <v>72</v>
      </c>
      <c r="C32" s="46">
        <v>0</v>
      </c>
      <c r="D32" s="46">
        <v>0</v>
      </c>
      <c r="E32" s="46">
        <v>0</v>
      </c>
      <c r="F32" s="46">
        <v>0</v>
      </c>
      <c r="G32" s="46"/>
    </row>
    <row r="33" spans="2:7" ht="12.75">
      <c r="B33" s="471" t="s">
        <v>73</v>
      </c>
      <c r="C33" s="68">
        <f>SUM(C30:C32)</f>
        <v>9826.428571428572</v>
      </c>
      <c r="D33" s="68">
        <f>SUM(D30:D32)</f>
        <v>8758.928571428572</v>
      </c>
      <c r="E33" s="68">
        <f>SUM(E30:E32)</f>
        <v>17071.428571428572</v>
      </c>
      <c r="F33" s="68">
        <f>SUM(F30:F32)</f>
        <v>9826.428571428572</v>
      </c>
      <c r="G33" s="69"/>
    </row>
    <row r="34" spans="2:7" ht="12.75">
      <c r="B34" s="70" t="s">
        <v>114</v>
      </c>
      <c r="C34" s="71">
        <f>C33+C28</f>
        <v>42551.42857142857</v>
      </c>
      <c r="D34" s="71">
        <f>D33+D28</f>
        <v>33058.92857142857</v>
      </c>
      <c r="E34" s="71">
        <f>E33+E28</f>
        <v>25313.09523809524</v>
      </c>
      <c r="F34" s="71">
        <f>F33+F28</f>
        <v>40751.42857142857</v>
      </c>
      <c r="G34" s="72">
        <f>(G16*1200)-G26</f>
        <v>38700</v>
      </c>
    </row>
    <row r="35" spans="2:7" ht="12.75">
      <c r="B35" s="70" t="s">
        <v>115</v>
      </c>
      <c r="C35" s="73">
        <f>C34/C9</f>
        <v>35.45952380952381</v>
      </c>
      <c r="D35" s="73">
        <f>D34/D9</f>
        <v>27.549107142857142</v>
      </c>
      <c r="E35" s="73">
        <f>E34/E9</f>
        <v>21.094246031746035</v>
      </c>
      <c r="F35" s="73">
        <f>F34/F9</f>
        <v>33.95952380952381</v>
      </c>
      <c r="G35" s="73">
        <f>G34/G9</f>
        <v>32.25</v>
      </c>
    </row>
    <row r="37" spans="2:7" ht="24">
      <c r="B37" s="7" t="s">
        <v>116</v>
      </c>
      <c r="C37" s="483" t="s">
        <v>99</v>
      </c>
      <c r="D37" s="483" t="s">
        <v>135</v>
      </c>
      <c r="E37" s="483" t="s">
        <v>136</v>
      </c>
      <c r="F37" s="483" t="s">
        <v>294</v>
      </c>
      <c r="G37" s="483" t="s">
        <v>100</v>
      </c>
    </row>
    <row r="38" spans="2:7" ht="12.75">
      <c r="B38" s="466" t="s">
        <v>117</v>
      </c>
      <c r="C38" s="67">
        <f>C22</f>
        <v>40904</v>
      </c>
      <c r="D38" s="67">
        <f>D22</f>
        <v>18179</v>
      </c>
      <c r="E38" s="67">
        <f>E22</f>
        <v>0</v>
      </c>
      <c r="F38" s="67">
        <f>F22</f>
        <v>29325</v>
      </c>
      <c r="G38" s="46"/>
    </row>
    <row r="39" spans="2:7" ht="12.75">
      <c r="B39" s="466" t="s">
        <v>118</v>
      </c>
      <c r="C39" s="46">
        <f>C19*C23</f>
        <v>300</v>
      </c>
      <c r="D39" s="46">
        <f>D19*D23</f>
        <v>300</v>
      </c>
      <c r="E39" s="46">
        <f>E19*E23</f>
        <v>0</v>
      </c>
      <c r="F39" s="46">
        <f>F19*F23</f>
        <v>300</v>
      </c>
      <c r="G39" s="46"/>
    </row>
    <row r="40" spans="2:7" ht="12.75">
      <c r="B40" s="466" t="s">
        <v>74</v>
      </c>
      <c r="C40" s="67">
        <f>C33</f>
        <v>9826.428571428572</v>
      </c>
      <c r="D40" s="67">
        <f>D33</f>
        <v>8758.928571428572</v>
      </c>
      <c r="E40" s="67">
        <f>E33</f>
        <v>17071.428571428572</v>
      </c>
      <c r="F40" s="67">
        <f>F33</f>
        <v>9826.428571428572</v>
      </c>
      <c r="G40" s="46"/>
    </row>
    <row r="41" spans="2:7" ht="12.75">
      <c r="B41" s="466" t="s">
        <v>119</v>
      </c>
      <c r="C41" s="67">
        <f>SUM(C38:C40)</f>
        <v>51030.42857142857</v>
      </c>
      <c r="D41" s="67">
        <f>SUM(D38:D40)</f>
        <v>27237.928571428572</v>
      </c>
      <c r="E41" s="67">
        <f>SUM(E38:E40)</f>
        <v>17071.428571428572</v>
      </c>
      <c r="F41" s="67">
        <f>SUM(F38:F40)</f>
        <v>39451.42857142857</v>
      </c>
      <c r="G41" s="74">
        <f>G16*G9</f>
        <v>40800</v>
      </c>
    </row>
    <row r="42" spans="2:7" ht="12.75">
      <c r="B42" s="75" t="s">
        <v>120</v>
      </c>
      <c r="C42" s="76">
        <f>C41/C9</f>
        <v>42.525357142857146</v>
      </c>
      <c r="D42" s="76">
        <f>D41/D9</f>
        <v>22.698273809523812</v>
      </c>
      <c r="E42" s="76">
        <f>E41/E9</f>
        <v>14.226190476190476</v>
      </c>
      <c r="F42" s="76">
        <f>F41/F9</f>
        <v>32.87619047619048</v>
      </c>
      <c r="G42" s="77">
        <f>G16</f>
        <v>34</v>
      </c>
    </row>
    <row r="43" spans="2:7" ht="24.75">
      <c r="B43" s="480" t="s">
        <v>121</v>
      </c>
      <c r="C43" s="483" t="s">
        <v>99</v>
      </c>
      <c r="D43" s="483" t="s">
        <v>135</v>
      </c>
      <c r="E43" s="483" t="s">
        <v>136</v>
      </c>
      <c r="F43" s="483" t="s">
        <v>294</v>
      </c>
      <c r="G43" s="483" t="s">
        <v>100</v>
      </c>
    </row>
    <row r="44" spans="2:7" ht="12.75">
      <c r="B44" s="466" t="s">
        <v>45</v>
      </c>
      <c r="C44" s="20">
        <v>0.41</v>
      </c>
      <c r="D44" s="20">
        <v>0.41</v>
      </c>
      <c r="E44" s="20">
        <v>0.41</v>
      </c>
      <c r="F44" s="20">
        <v>0.41</v>
      </c>
      <c r="G44" s="20">
        <v>0.41</v>
      </c>
    </row>
    <row r="45" spans="2:7" ht="12.75">
      <c r="B45" s="466" t="s">
        <v>75</v>
      </c>
      <c r="C45" s="43">
        <v>0.3</v>
      </c>
      <c r="D45" s="43">
        <v>0.3</v>
      </c>
      <c r="E45" s="43">
        <v>0.3</v>
      </c>
      <c r="F45" s="43"/>
      <c r="G45" s="43"/>
    </row>
    <row r="46" spans="2:7" ht="12.75">
      <c r="B46" s="481" t="s">
        <v>122</v>
      </c>
      <c r="C46" s="78"/>
      <c r="D46" s="43"/>
      <c r="E46" s="43"/>
      <c r="F46" s="43"/>
      <c r="G46" s="43"/>
    </row>
    <row r="47" spans="2:7" ht="12.75">
      <c r="B47" s="466" t="s">
        <v>123</v>
      </c>
      <c r="C47" s="79">
        <f>VLOOKUP(C7,$B$66:$H$76,3,FALSE)/C7</f>
        <v>27857.025</v>
      </c>
      <c r="D47" s="79">
        <f>VLOOKUP(D7,$B$66:$H$76,5,FALSE)/D7</f>
        <v>17711.25</v>
      </c>
      <c r="E47" s="79">
        <f>VLOOKUP(E7,$B$66:$H$76,7,FALSE)/E7</f>
        <v>6807.5</v>
      </c>
      <c r="F47" s="46"/>
      <c r="G47" s="46"/>
    </row>
    <row r="48" spans="2:7" ht="12.75">
      <c r="B48" s="466" t="s">
        <v>124</v>
      </c>
      <c r="C48" s="14">
        <f>C21/C7</f>
        <v>5723.6</v>
      </c>
      <c r="D48" s="14">
        <f>D21/D7</f>
        <v>3179.75</v>
      </c>
      <c r="E48" s="14">
        <f>E21/E7</f>
        <v>0</v>
      </c>
      <c r="F48" s="14">
        <f>F21/F7</f>
        <v>0</v>
      </c>
      <c r="G48" s="46"/>
    </row>
    <row r="49" spans="2:7" ht="12.75">
      <c r="B49" s="466" t="s">
        <v>125</v>
      </c>
      <c r="C49" s="67">
        <f>C30+C31</f>
        <v>9826.428571428572</v>
      </c>
      <c r="D49" s="67">
        <f>D30+D31</f>
        <v>8758.928571428572</v>
      </c>
      <c r="E49" s="67">
        <f>E30+E31</f>
        <v>17071.428571428572</v>
      </c>
      <c r="F49" s="67">
        <f>F30+F31</f>
        <v>9826.428571428572</v>
      </c>
      <c r="G49" s="67">
        <f>G30+G31</f>
        <v>0</v>
      </c>
    </row>
    <row r="50" spans="2:7" ht="12.75">
      <c r="B50" s="466" t="s">
        <v>126</v>
      </c>
      <c r="C50" s="67"/>
      <c r="D50" s="67"/>
      <c r="E50" s="67"/>
      <c r="F50" s="67">
        <f>F38</f>
        <v>29325</v>
      </c>
      <c r="G50" s="67"/>
    </row>
    <row r="51" spans="2:7" ht="12.75">
      <c r="B51" s="466" t="s">
        <v>127</v>
      </c>
      <c r="C51" s="67"/>
      <c r="D51" s="67"/>
      <c r="E51" s="67"/>
      <c r="F51" s="67"/>
      <c r="G51" s="14">
        <f>G16*G9</f>
        <v>40800</v>
      </c>
    </row>
    <row r="52" spans="1:7" ht="12.75">
      <c r="A52" s="80"/>
      <c r="B52" s="472" t="s">
        <v>128</v>
      </c>
      <c r="C52" s="81">
        <f>SUM(C47:C51)</f>
        <v>43407.05357142857</v>
      </c>
      <c r="D52" s="81">
        <f>SUM(D47:D51)</f>
        <v>29649.928571428572</v>
      </c>
      <c r="E52" s="81">
        <f>SUM(E47:E51)</f>
        <v>23878.928571428572</v>
      </c>
      <c r="F52" s="81">
        <f>SUM(F47:F51)</f>
        <v>39151.42857142857</v>
      </c>
      <c r="G52" s="81">
        <f>SUM(G47:G51)</f>
        <v>40800</v>
      </c>
    </row>
    <row r="53" spans="2:7" ht="12.75">
      <c r="B53" s="466" t="s">
        <v>129</v>
      </c>
      <c r="C53" s="67">
        <f>C52*C44</f>
        <v>17796.891964285714</v>
      </c>
      <c r="D53" s="67">
        <f>D52*D44</f>
        <v>12156.470714285713</v>
      </c>
      <c r="E53" s="67">
        <f>E52*E44</f>
        <v>9790.360714285714</v>
      </c>
      <c r="F53" s="67">
        <f>F52*F44</f>
        <v>16052.085714285713</v>
      </c>
      <c r="G53" s="67">
        <f>G52*G44</f>
        <v>16728</v>
      </c>
    </row>
    <row r="54" spans="2:7" ht="12.75">
      <c r="B54" s="466" t="s">
        <v>130</v>
      </c>
      <c r="C54" s="82">
        <f>C53/C9</f>
        <v>14.83074330357143</v>
      </c>
      <c r="D54" s="82">
        <f>D53/D9</f>
        <v>10.130392261904761</v>
      </c>
      <c r="E54" s="82">
        <f>E53/E9</f>
        <v>8.15863392857143</v>
      </c>
      <c r="F54" s="82">
        <f>F53/F9</f>
        <v>13.376738095238094</v>
      </c>
      <c r="G54" s="82">
        <f>G53/G9</f>
        <v>13.94</v>
      </c>
    </row>
    <row r="55" spans="2:7" ht="12.75">
      <c r="B55" s="473" t="s">
        <v>131</v>
      </c>
      <c r="C55" s="83">
        <f>C42-C54</f>
        <v>27.694613839285715</v>
      </c>
      <c r="D55" s="83">
        <f>D42-D54</f>
        <v>12.56788154761905</v>
      </c>
      <c r="E55" s="83">
        <f>E42-E54</f>
        <v>6.067556547619047</v>
      </c>
      <c r="F55" s="83">
        <f>F42-F54</f>
        <v>19.499452380952384</v>
      </c>
      <c r="G55" s="83">
        <f>G42-G54</f>
        <v>20.060000000000002</v>
      </c>
    </row>
    <row r="56" spans="6:7" ht="12.75">
      <c r="F56" s="1"/>
      <c r="G56" s="1"/>
    </row>
    <row r="57" spans="2:7" ht="12.75">
      <c r="B57" s="475" t="s">
        <v>132</v>
      </c>
      <c r="F57" s="1"/>
      <c r="G57" s="1"/>
    </row>
    <row r="58" ht="12.75">
      <c r="B58" s="204"/>
    </row>
    <row r="65" spans="2:7" ht="15.75">
      <c r="B65" s="84" t="s">
        <v>133</v>
      </c>
      <c r="C65" s="85"/>
      <c r="D65" s="85"/>
      <c r="E65" s="85"/>
      <c r="F65" s="85"/>
      <c r="G65" s="86"/>
    </row>
    <row r="66" spans="2:8" ht="12.75">
      <c r="B66" s="477" t="s">
        <v>90</v>
      </c>
      <c r="C66" s="88">
        <f>+C4</f>
        <v>175000</v>
      </c>
      <c r="D66" s="80"/>
      <c r="E66" s="88">
        <f>+D4</f>
        <v>100000</v>
      </c>
      <c r="F66" s="80"/>
      <c r="G66" s="88">
        <f>+E4</f>
        <v>35000</v>
      </c>
      <c r="H66" s="80"/>
    </row>
    <row r="67" spans="2:8" ht="12.75">
      <c r="B67" s="89">
        <v>1</v>
      </c>
      <c r="C67" s="88">
        <f aca="true" t="shared" si="0" ref="C67:C76">C66-C78</f>
        <v>148750</v>
      </c>
      <c r="D67" s="90">
        <f aca="true" t="shared" si="1" ref="D67:D76">$C$66-C67</f>
        <v>26250</v>
      </c>
      <c r="E67" s="88">
        <f aca="true" t="shared" si="2" ref="E67:E76">E66-D78</f>
        <v>85000</v>
      </c>
      <c r="F67" s="90">
        <f aca="true" t="shared" si="3" ref="F67:F76">$E$66-E67</f>
        <v>15000</v>
      </c>
      <c r="G67" s="88">
        <f aca="true" t="shared" si="4" ref="G67:G76">G66-E78</f>
        <v>29750</v>
      </c>
      <c r="H67" s="90">
        <f aca="true" t="shared" si="5" ref="H67:H76">$G$66-G67</f>
        <v>5250</v>
      </c>
    </row>
    <row r="68" spans="2:8" ht="12.75">
      <c r="B68" s="89">
        <v>2</v>
      </c>
      <c r="C68" s="88">
        <f t="shared" si="0"/>
        <v>104125</v>
      </c>
      <c r="D68" s="90">
        <f t="shared" si="1"/>
        <v>70875</v>
      </c>
      <c r="E68" s="88">
        <f t="shared" si="2"/>
        <v>59500</v>
      </c>
      <c r="F68" s="90">
        <f t="shared" si="3"/>
        <v>40500</v>
      </c>
      <c r="G68" s="88">
        <f t="shared" si="4"/>
        <v>20825</v>
      </c>
      <c r="H68" s="90">
        <f t="shared" si="5"/>
        <v>14175</v>
      </c>
    </row>
    <row r="69" spans="2:8" ht="12.75">
      <c r="B69" s="89">
        <v>3</v>
      </c>
      <c r="C69" s="88">
        <f t="shared" si="0"/>
        <v>72887.5</v>
      </c>
      <c r="D69" s="90">
        <f t="shared" si="1"/>
        <v>102112.5</v>
      </c>
      <c r="E69" s="88">
        <f t="shared" si="2"/>
        <v>41650</v>
      </c>
      <c r="F69" s="90">
        <f t="shared" si="3"/>
        <v>58350</v>
      </c>
      <c r="G69" s="88">
        <f t="shared" si="4"/>
        <v>14577.5</v>
      </c>
      <c r="H69" s="90">
        <f t="shared" si="5"/>
        <v>20422.5</v>
      </c>
    </row>
    <row r="70" spans="2:8" ht="12.75">
      <c r="B70" s="89">
        <v>4</v>
      </c>
      <c r="C70" s="88">
        <f t="shared" si="0"/>
        <v>51021.25</v>
      </c>
      <c r="D70" s="90">
        <f t="shared" si="1"/>
        <v>123978.75</v>
      </c>
      <c r="E70" s="88">
        <f t="shared" si="2"/>
        <v>29155</v>
      </c>
      <c r="F70" s="90">
        <f t="shared" si="3"/>
        <v>70845</v>
      </c>
      <c r="G70" s="88">
        <f t="shared" si="4"/>
        <v>10204.25</v>
      </c>
      <c r="H70" s="90">
        <f t="shared" si="5"/>
        <v>24795.75</v>
      </c>
    </row>
    <row r="71" spans="2:8" ht="12.75">
      <c r="B71" s="89">
        <v>5</v>
      </c>
      <c r="C71" s="88">
        <f t="shared" si="0"/>
        <v>35714.875</v>
      </c>
      <c r="D71" s="90">
        <f t="shared" si="1"/>
        <v>139285.125</v>
      </c>
      <c r="E71" s="88">
        <f t="shared" si="2"/>
        <v>20408.5</v>
      </c>
      <c r="F71" s="90">
        <f t="shared" si="3"/>
        <v>79591.5</v>
      </c>
      <c r="G71" s="88">
        <f t="shared" si="4"/>
        <v>7142.975</v>
      </c>
      <c r="H71" s="90">
        <f t="shared" si="5"/>
        <v>27857.025</v>
      </c>
    </row>
    <row r="72" spans="2:8" ht="12.75">
      <c r="B72" s="91" t="s">
        <v>0</v>
      </c>
      <c r="C72" s="88">
        <f t="shared" si="0"/>
        <v>25000.4125</v>
      </c>
      <c r="D72" s="90">
        <f t="shared" si="1"/>
        <v>149999.5875</v>
      </c>
      <c r="E72" s="88">
        <f t="shared" si="2"/>
        <v>14285.95</v>
      </c>
      <c r="F72" s="90">
        <f t="shared" si="3"/>
        <v>85714.05</v>
      </c>
      <c r="G72" s="88">
        <f t="shared" si="4"/>
        <v>5000.0825</v>
      </c>
      <c r="H72" s="90">
        <f t="shared" si="5"/>
        <v>29999.9175</v>
      </c>
    </row>
    <row r="73" spans="2:8" ht="12.75">
      <c r="B73" s="91" t="s">
        <v>1</v>
      </c>
      <c r="C73" s="88">
        <f t="shared" si="0"/>
        <v>17500.28875</v>
      </c>
      <c r="D73" s="90">
        <f t="shared" si="1"/>
        <v>157499.71125</v>
      </c>
      <c r="E73" s="88">
        <f t="shared" si="2"/>
        <v>10000.165</v>
      </c>
      <c r="F73" s="90">
        <f t="shared" si="3"/>
        <v>89999.83499999999</v>
      </c>
      <c r="G73" s="88">
        <f t="shared" si="4"/>
        <v>3500.0577500000004</v>
      </c>
      <c r="H73" s="90">
        <f t="shared" si="5"/>
        <v>31499.94225</v>
      </c>
    </row>
    <row r="74" spans="2:8" ht="12.75">
      <c r="B74" s="91" t="s">
        <v>2</v>
      </c>
      <c r="C74" s="88">
        <f t="shared" si="0"/>
        <v>12250.202125</v>
      </c>
      <c r="D74" s="90">
        <f t="shared" si="1"/>
        <v>162749.797875</v>
      </c>
      <c r="E74" s="88">
        <f t="shared" si="2"/>
        <v>7000.115500000001</v>
      </c>
      <c r="F74" s="90">
        <f t="shared" si="3"/>
        <v>92999.8845</v>
      </c>
      <c r="G74" s="88">
        <f t="shared" si="4"/>
        <v>2450.040425</v>
      </c>
      <c r="H74" s="90">
        <f t="shared" si="5"/>
        <v>32549.959575</v>
      </c>
    </row>
    <row r="75" spans="2:8" ht="12.75">
      <c r="B75" s="91" t="s">
        <v>3</v>
      </c>
      <c r="C75" s="88">
        <f t="shared" si="0"/>
        <v>8575.141487500001</v>
      </c>
      <c r="D75" s="90">
        <f t="shared" si="1"/>
        <v>166424.8585125</v>
      </c>
      <c r="E75" s="88">
        <f t="shared" si="2"/>
        <v>4900.08085</v>
      </c>
      <c r="F75" s="90">
        <f t="shared" si="3"/>
        <v>95099.91915</v>
      </c>
      <c r="G75" s="88">
        <f t="shared" si="4"/>
        <v>1715.0282975</v>
      </c>
      <c r="H75" s="90">
        <f t="shared" si="5"/>
        <v>33284.9717025</v>
      </c>
    </row>
    <row r="76" spans="2:8" ht="12.75">
      <c r="B76" s="91" t="s">
        <v>4</v>
      </c>
      <c r="C76" s="88">
        <f t="shared" si="0"/>
        <v>6002.599041250001</v>
      </c>
      <c r="D76" s="90">
        <f t="shared" si="1"/>
        <v>168997.40095875</v>
      </c>
      <c r="E76" s="88">
        <f t="shared" si="2"/>
        <v>3430.056595</v>
      </c>
      <c r="F76" s="90">
        <f t="shared" si="3"/>
        <v>96569.943405</v>
      </c>
      <c r="G76" s="88">
        <f t="shared" si="4"/>
        <v>1200.51980825</v>
      </c>
      <c r="H76" s="90">
        <f t="shared" si="5"/>
        <v>33799.48019175</v>
      </c>
    </row>
    <row r="77" spans="2:7" ht="12.75">
      <c r="B77" s="476" t="s">
        <v>89</v>
      </c>
      <c r="C77" s="58"/>
      <c r="D77" s="58"/>
      <c r="E77" s="58"/>
      <c r="F77" s="58"/>
      <c r="G77" s="92"/>
    </row>
    <row r="78" spans="2:7" ht="12.75">
      <c r="B78" s="476" t="s">
        <v>79</v>
      </c>
      <c r="C78" s="88">
        <f>0.5*C45*C66</f>
        <v>26250</v>
      </c>
      <c r="D78" s="88">
        <f>0.5*D45*E66</f>
        <v>15000</v>
      </c>
      <c r="E78" s="88">
        <f>0.5*E45*G66</f>
        <v>5250</v>
      </c>
      <c r="F78" s="58"/>
      <c r="G78" s="92"/>
    </row>
    <row r="79" spans="2:7" ht="12.75">
      <c r="B79" s="476" t="s">
        <v>80</v>
      </c>
      <c r="C79" s="88">
        <f>C45*C67</f>
        <v>44625</v>
      </c>
      <c r="D79" s="88">
        <f>D45*E67</f>
        <v>25500</v>
      </c>
      <c r="E79" s="88">
        <f>E45*G67</f>
        <v>8925</v>
      </c>
      <c r="F79" s="58"/>
      <c r="G79" s="92"/>
    </row>
    <row r="80" spans="2:7" ht="12.75">
      <c r="B80" s="476" t="s">
        <v>81</v>
      </c>
      <c r="C80" s="93">
        <f>C45*C68</f>
        <v>31237.5</v>
      </c>
      <c r="D80" s="93">
        <f>D45*E68</f>
        <v>17850</v>
      </c>
      <c r="E80" s="93">
        <f>E45*G68</f>
        <v>6247.5</v>
      </c>
      <c r="F80" s="58"/>
      <c r="G80" s="92"/>
    </row>
    <row r="81" spans="2:7" ht="12.75">
      <c r="B81" s="476" t="s">
        <v>82</v>
      </c>
      <c r="C81" s="93">
        <f>C45*C69</f>
        <v>21866.25</v>
      </c>
      <c r="D81" s="93">
        <f>D45*E69</f>
        <v>12495</v>
      </c>
      <c r="E81" s="93">
        <f>E45*G69</f>
        <v>4373.25</v>
      </c>
      <c r="F81" s="58"/>
      <c r="G81" s="92"/>
    </row>
    <row r="82" spans="2:7" ht="12.75">
      <c r="B82" s="476" t="s">
        <v>83</v>
      </c>
      <c r="C82" s="94">
        <f aca="true" t="shared" si="6" ref="C82:C87">$C$45*C70</f>
        <v>15306.375</v>
      </c>
      <c r="D82" s="94">
        <f>D45*E70</f>
        <v>8746.5</v>
      </c>
      <c r="E82" s="94">
        <f>E45*G70</f>
        <v>3061.275</v>
      </c>
      <c r="F82" s="58"/>
      <c r="G82" s="92"/>
    </row>
    <row r="83" spans="2:7" ht="12.75">
      <c r="B83" s="476" t="s">
        <v>84</v>
      </c>
      <c r="C83" s="94">
        <f t="shared" si="6"/>
        <v>10714.4625</v>
      </c>
      <c r="D83" s="94">
        <f>$C$45*E71</f>
        <v>6122.55</v>
      </c>
      <c r="E83" s="94">
        <f>$C$45*G71</f>
        <v>2142.8925</v>
      </c>
      <c r="F83" s="58"/>
      <c r="G83" s="92"/>
    </row>
    <row r="84" spans="2:7" ht="12.75">
      <c r="B84" s="476" t="s">
        <v>85</v>
      </c>
      <c r="C84" s="94">
        <f t="shared" si="6"/>
        <v>7500.123749999999</v>
      </c>
      <c r="D84" s="94">
        <f>$C$45*E72</f>
        <v>4285.785</v>
      </c>
      <c r="E84" s="94">
        <f>$C$45*G72</f>
        <v>1500.02475</v>
      </c>
      <c r="F84" s="58"/>
      <c r="G84" s="92"/>
    </row>
    <row r="85" spans="2:7" ht="12.75">
      <c r="B85" s="476" t="s">
        <v>86</v>
      </c>
      <c r="C85" s="94">
        <f t="shared" si="6"/>
        <v>5250.086625</v>
      </c>
      <c r="D85" s="94">
        <f>$C$45*E73</f>
        <v>3000.0495</v>
      </c>
      <c r="E85" s="94">
        <f>$C$45*G73</f>
        <v>1050.017325</v>
      </c>
      <c r="F85" s="58"/>
      <c r="G85" s="92"/>
    </row>
    <row r="86" spans="2:7" ht="12.75">
      <c r="B86" s="476" t="s">
        <v>87</v>
      </c>
      <c r="C86" s="94">
        <f t="shared" si="6"/>
        <v>3675.0606374999998</v>
      </c>
      <c r="D86" s="94">
        <f>$C$45*E74</f>
        <v>2100.03465</v>
      </c>
      <c r="E86" s="94">
        <f>$C$45*G74</f>
        <v>735.0121275</v>
      </c>
      <c r="F86" s="58"/>
      <c r="G86" s="92"/>
    </row>
    <row r="87" spans="2:7" ht="12.75">
      <c r="B87" s="476" t="s">
        <v>88</v>
      </c>
      <c r="C87" s="94">
        <f t="shared" si="6"/>
        <v>2572.54244625</v>
      </c>
      <c r="D87" s="94">
        <f>$C$45*E75</f>
        <v>1470.024255</v>
      </c>
      <c r="E87" s="94">
        <f>$C$45*G75</f>
        <v>514.50848925</v>
      </c>
      <c r="F87" s="58"/>
      <c r="G87" s="92"/>
    </row>
    <row r="88" spans="2:7" ht="12.75">
      <c r="B88" s="87"/>
      <c r="C88" s="94"/>
      <c r="D88" s="94"/>
      <c r="E88" s="94"/>
      <c r="F88" s="58"/>
      <c r="G88" s="92"/>
    </row>
    <row r="89" spans="2:7" ht="12.75">
      <c r="B89" s="476" t="s">
        <v>78</v>
      </c>
      <c r="C89" s="95">
        <f>SUM(C78:C82)</f>
        <v>139285.125</v>
      </c>
      <c r="D89" s="95">
        <f>SUM(D78:D82)</f>
        <v>79591.5</v>
      </c>
      <c r="E89" s="95">
        <f>SUM(E78:E82)</f>
        <v>27857.025</v>
      </c>
      <c r="F89" s="58"/>
      <c r="G89" s="92"/>
    </row>
    <row r="90" spans="2:7" ht="12.75">
      <c r="B90" s="477" t="s">
        <v>134</v>
      </c>
      <c r="C90" s="96">
        <f>C89/5</f>
        <v>27857.025</v>
      </c>
      <c r="D90" s="96">
        <f>D89/5</f>
        <v>15918.3</v>
      </c>
      <c r="E90" s="96">
        <f>E89/5</f>
        <v>5571.405000000001</v>
      </c>
      <c r="F90" s="58"/>
      <c r="G90" s="92"/>
    </row>
    <row r="91" spans="2:7" ht="12.75">
      <c r="B91" s="97"/>
      <c r="C91" s="98"/>
      <c r="D91" s="98"/>
      <c r="E91" s="98"/>
      <c r="F91" s="98"/>
      <c r="G91" s="99"/>
    </row>
  </sheetData>
  <sheetProtection/>
  <printOptions/>
  <pageMargins left="0.46" right="0.34" top="0.57" bottom="0.58"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OMAFRA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Gamble</dc:creator>
  <cp:keywords/>
  <dc:description/>
  <cp:lastModifiedBy>Dean, Brooke (OMAFRA)</cp:lastModifiedBy>
  <cp:lastPrinted>2005-02-21T18:44:06Z</cp:lastPrinted>
  <dcterms:created xsi:type="dcterms:W3CDTF">2000-07-14T20:47:03Z</dcterms:created>
  <dcterms:modified xsi:type="dcterms:W3CDTF">2015-12-17T16:42:48Z</dcterms:modified>
  <cp:category/>
  <cp:version/>
  <cp:contentType/>
  <cp:contentStatus/>
</cp:coreProperties>
</file>