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ontariogov-my.sharepoint.com/personal/john_molenhuis_ontario_ca/Documents/Documents/Data/updatedbudgets/livestock/Sheep/2023/webrequest/"/>
    </mc:Choice>
  </mc:AlternateContent>
  <xr:revisionPtr revIDLastSave="20" documentId="8_{9AFFAD93-5683-4743-AE13-88FC676819AE}" xr6:coauthVersionLast="47" xr6:coauthVersionMax="47" xr10:uidLastSave="{E5AD8847-5EEC-47A7-9BBE-202A487899C3}"/>
  <bookViews>
    <workbookView xWindow="-120" yWindow="-120" windowWidth="20730" windowHeight="11160" activeTab="1" xr2:uid="{00000000-000D-0000-FFFF-FFFF00000000}"/>
  </bookViews>
  <sheets>
    <sheet name="Notes Ewe Flock" sheetId="1" r:id="rId1"/>
    <sheet name="Ewe Flock COP" sheetId="2" r:id="rId2"/>
  </sheets>
  <definedNames>
    <definedName name="atat">#REF!</definedName>
    <definedName name="basefat">#REF!</definedName>
    <definedName name="baseprotein">#REF!</definedName>
    <definedName name="contractmilk">#REF!</definedName>
    <definedName name="deductions">#REF!</definedName>
    <definedName name="milkproduced">#REF!</definedName>
    <definedName name="_xlnm.Print_Area" localSheetId="1">'Ewe Flock COP'!$A$2:$L$215,'Ewe Flock COP'!$M$2:$U$25</definedName>
    <definedName name="yourquo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2" l="1"/>
  <c r="F185" i="2"/>
  <c r="F184" i="2"/>
  <c r="F170" i="2"/>
  <c r="E74" i="2"/>
  <c r="Z103" i="2"/>
  <c r="K74" i="2" l="1"/>
  <c r="I45" i="2" l="1"/>
  <c r="E75" i="2" l="1"/>
  <c r="K75" i="2" s="1"/>
  <c r="F171" i="2"/>
  <c r="F193" i="2"/>
  <c r="F173" i="2"/>
  <c r="F194" i="2" s="1"/>
  <c r="G47" i="2"/>
  <c r="G64" i="2"/>
  <c r="G70" i="2"/>
  <c r="G50" i="2"/>
  <c r="G67" i="2" s="1"/>
  <c r="G49" i="2"/>
  <c r="G66" i="2" s="1"/>
  <c r="G63" i="2"/>
  <c r="G61" i="2"/>
  <c r="G60" i="2"/>
  <c r="G58" i="2"/>
  <c r="G57" i="2"/>
  <c r="G56" i="2"/>
  <c r="G55" i="2"/>
  <c r="L145" i="2" l="1"/>
  <c r="AO71" i="2"/>
  <c r="AO70" i="2"/>
  <c r="AL208" i="2"/>
  <c r="AJ208" i="2"/>
  <c r="AH203" i="2"/>
  <c r="AH202" i="2"/>
  <c r="AH201" i="2"/>
  <c r="AL203" i="2"/>
  <c r="AK203" i="2"/>
  <c r="AJ203" i="2"/>
  <c r="AL202" i="2"/>
  <c r="AK202" i="2"/>
  <c r="AJ202" i="2"/>
  <c r="AL201" i="2"/>
  <c r="AK201" i="2"/>
  <c r="AJ201" i="2"/>
  <c r="AL195" i="2"/>
  <c r="AK195" i="2"/>
  <c r="AJ195" i="2"/>
  <c r="AL194" i="2"/>
  <c r="AK194" i="2"/>
  <c r="AJ194" i="2"/>
  <c r="AL193" i="2"/>
  <c r="AK193" i="2"/>
  <c r="AJ193" i="2"/>
  <c r="AH195" i="2"/>
  <c r="AH194" i="2"/>
  <c r="AH193" i="2"/>
  <c r="AI194" i="2"/>
  <c r="AI193" i="2"/>
  <c r="AL187" i="2"/>
  <c r="AO187" i="2" s="1"/>
  <c r="AK187" i="2"/>
  <c r="AJ187" i="2"/>
  <c r="AI187" i="2"/>
  <c r="AH187" i="2"/>
  <c r="AL186" i="2"/>
  <c r="AK186" i="2"/>
  <c r="AJ186" i="2"/>
  <c r="AI186" i="2"/>
  <c r="AH186" i="2"/>
  <c r="AL185" i="2"/>
  <c r="AK185" i="2"/>
  <c r="AJ185" i="2"/>
  <c r="AI185" i="2"/>
  <c r="AH185" i="2"/>
  <c r="AL184" i="2"/>
  <c r="AK184" i="2"/>
  <c r="AJ184" i="2"/>
  <c r="AI184" i="2"/>
  <c r="AH184" i="2"/>
  <c r="AL183" i="2"/>
  <c r="AK183" i="2"/>
  <c r="AJ183" i="2"/>
  <c r="AI183" i="2"/>
  <c r="AH183" i="2"/>
  <c r="AM171" i="2"/>
  <c r="AL175" i="2"/>
  <c r="AK175" i="2"/>
  <c r="AJ175" i="2"/>
  <c r="AI175" i="2"/>
  <c r="AH175" i="2"/>
  <c r="AL174" i="2"/>
  <c r="AK174" i="2"/>
  <c r="AJ174" i="2"/>
  <c r="AI174" i="2"/>
  <c r="AH174" i="2"/>
  <c r="AL173" i="2"/>
  <c r="AK173" i="2"/>
  <c r="AJ173" i="2"/>
  <c r="AI173" i="2"/>
  <c r="AH173" i="2"/>
  <c r="AL172" i="2"/>
  <c r="AK172" i="2"/>
  <c r="AJ172" i="2"/>
  <c r="AI172" i="2"/>
  <c r="AH172" i="2"/>
  <c r="AL171" i="2"/>
  <c r="AK171" i="2"/>
  <c r="AJ171" i="2"/>
  <c r="AI171" i="2"/>
  <c r="AH171" i="2"/>
  <c r="AL170" i="2"/>
  <c r="AK170" i="2"/>
  <c r="AJ170" i="2"/>
  <c r="AI170" i="2"/>
  <c r="AH170" i="2"/>
  <c r="AK162" i="2"/>
  <c r="AJ162" i="2"/>
  <c r="AK161" i="2"/>
  <c r="AJ161" i="2"/>
  <c r="AK160" i="2"/>
  <c r="AI49" i="2" s="1"/>
  <c r="AJ160" i="2"/>
  <c r="AK159" i="2"/>
  <c r="AI48" i="2" s="1"/>
  <c r="AJ159" i="2"/>
  <c r="AK158" i="2"/>
  <c r="AI47" i="2" s="1"/>
  <c r="AJ158" i="2"/>
  <c r="AK157" i="2"/>
  <c r="AJ157" i="2"/>
  <c r="AK156" i="2"/>
  <c r="AI45" i="2" s="1"/>
  <c r="AJ156" i="2"/>
  <c r="AK155" i="2"/>
  <c r="AI44" i="2" s="1"/>
  <c r="AJ155" i="2"/>
  <c r="AK154" i="2"/>
  <c r="AJ154" i="2"/>
  <c r="AK153" i="2"/>
  <c r="AJ153" i="2"/>
  <c r="AK152" i="2"/>
  <c r="AI41" i="2" s="1"/>
  <c r="AJ152" i="2"/>
  <c r="AI141" i="2"/>
  <c r="AI138" i="2"/>
  <c r="AP147" i="2"/>
  <c r="AO147" i="2"/>
  <c r="AN147" i="2"/>
  <c r="AM147" i="2"/>
  <c r="AL147" i="2"/>
  <c r="AK147" i="2"/>
  <c r="AJ147" i="2"/>
  <c r="AP146" i="2"/>
  <c r="AO146" i="2"/>
  <c r="AS146" i="2" s="1"/>
  <c r="AN146" i="2"/>
  <c r="AM146" i="2"/>
  <c r="AL146" i="2"/>
  <c r="AK146" i="2"/>
  <c r="AJ146" i="2"/>
  <c r="AP145" i="2"/>
  <c r="AO145" i="2"/>
  <c r="AN145" i="2"/>
  <c r="AM145" i="2"/>
  <c r="AL145" i="2"/>
  <c r="AK145" i="2"/>
  <c r="AJ145" i="2"/>
  <c r="AP144" i="2"/>
  <c r="AO144" i="2"/>
  <c r="AN144" i="2"/>
  <c r="AM144" i="2"/>
  <c r="AL144" i="2"/>
  <c r="AK144" i="2"/>
  <c r="AJ144" i="2"/>
  <c r="AP143" i="2"/>
  <c r="AO143" i="2"/>
  <c r="AN143" i="2"/>
  <c r="AM143" i="2"/>
  <c r="AL143" i="2"/>
  <c r="AK143" i="2"/>
  <c r="AJ143" i="2"/>
  <c r="AP142" i="2"/>
  <c r="AO142" i="2"/>
  <c r="AN142" i="2"/>
  <c r="AM142" i="2"/>
  <c r="AL142" i="2"/>
  <c r="AK142" i="2"/>
  <c r="AJ142" i="2"/>
  <c r="AP140" i="2"/>
  <c r="AO140" i="2"/>
  <c r="AN140" i="2"/>
  <c r="AM140" i="2"/>
  <c r="AL140" i="2"/>
  <c r="AK140" i="2"/>
  <c r="AJ140" i="2"/>
  <c r="AP139" i="2"/>
  <c r="AO139" i="2"/>
  <c r="AN139" i="2"/>
  <c r="AM139" i="2"/>
  <c r="AL139" i="2"/>
  <c r="AK139" i="2"/>
  <c r="AJ139" i="2"/>
  <c r="AP137" i="2"/>
  <c r="AO137" i="2"/>
  <c r="AN137" i="2"/>
  <c r="AM137" i="2"/>
  <c r="AL137" i="2"/>
  <c r="AK137" i="2"/>
  <c r="AJ137" i="2"/>
  <c r="AP136" i="2"/>
  <c r="AO136" i="2"/>
  <c r="AN136" i="2"/>
  <c r="AM136" i="2"/>
  <c r="AL136" i="2"/>
  <c r="AK136" i="2"/>
  <c r="AJ136" i="2"/>
  <c r="AP135" i="2"/>
  <c r="AS135" i="2" s="1"/>
  <c r="AO135" i="2"/>
  <c r="AN135" i="2"/>
  <c r="AM135" i="2"/>
  <c r="AL135" i="2"/>
  <c r="AK135" i="2"/>
  <c r="AJ135" i="2"/>
  <c r="AP134" i="2"/>
  <c r="AO134" i="2"/>
  <c r="AN134" i="2"/>
  <c r="AM134" i="2"/>
  <c r="AL134" i="2"/>
  <c r="AK134" i="2"/>
  <c r="AJ134" i="2"/>
  <c r="AP131" i="2"/>
  <c r="AO131" i="2"/>
  <c r="AN131" i="2"/>
  <c r="AM131" i="2"/>
  <c r="AL131" i="2"/>
  <c r="AK131" i="2"/>
  <c r="AJ131" i="2"/>
  <c r="AI127" i="2"/>
  <c r="AI126" i="2"/>
  <c r="AI67" i="2" s="1"/>
  <c r="AI125" i="2"/>
  <c r="AI66" i="2" s="1"/>
  <c r="AI124" i="2"/>
  <c r="AI123" i="2"/>
  <c r="AI64" i="2" s="1"/>
  <c r="AI122" i="2"/>
  <c r="AI63" i="2" s="1"/>
  <c r="AI120" i="2"/>
  <c r="AI119" i="2"/>
  <c r="AI117" i="2"/>
  <c r="AI116" i="2"/>
  <c r="AI115" i="2"/>
  <c r="AI56" i="2" s="1"/>
  <c r="AI114" i="2"/>
  <c r="AQ127" i="2"/>
  <c r="AP127" i="2"/>
  <c r="AO127" i="2"/>
  <c r="AN127" i="2"/>
  <c r="AM127" i="2"/>
  <c r="AL127" i="2"/>
  <c r="AK127" i="2"/>
  <c r="AJ127" i="2"/>
  <c r="AQ126" i="2"/>
  <c r="AP126" i="2"/>
  <c r="AO126" i="2"/>
  <c r="AN126" i="2"/>
  <c r="AM126" i="2"/>
  <c r="AL126" i="2"/>
  <c r="AK126" i="2"/>
  <c r="AJ126" i="2"/>
  <c r="AQ125" i="2"/>
  <c r="AP125" i="2"/>
  <c r="AO125" i="2"/>
  <c r="AN125" i="2"/>
  <c r="AM125" i="2"/>
  <c r="AL125" i="2"/>
  <c r="AK125" i="2"/>
  <c r="AJ125" i="2"/>
  <c r="AQ124" i="2"/>
  <c r="AP124" i="2"/>
  <c r="AO124" i="2"/>
  <c r="AN124" i="2"/>
  <c r="AM124" i="2"/>
  <c r="AL124" i="2"/>
  <c r="AK124" i="2"/>
  <c r="AJ124" i="2"/>
  <c r="AQ123" i="2"/>
  <c r="AP123" i="2"/>
  <c r="AO123" i="2"/>
  <c r="AN123" i="2"/>
  <c r="AM123" i="2"/>
  <c r="AL123" i="2"/>
  <c r="AK123" i="2"/>
  <c r="AJ123" i="2"/>
  <c r="AQ122" i="2"/>
  <c r="AP122" i="2"/>
  <c r="AO122" i="2"/>
  <c r="AN122" i="2"/>
  <c r="AM122" i="2"/>
  <c r="AL122" i="2"/>
  <c r="AK122" i="2"/>
  <c r="AJ122" i="2"/>
  <c r="AQ120" i="2"/>
  <c r="AP120" i="2"/>
  <c r="AO120" i="2"/>
  <c r="AN120" i="2"/>
  <c r="AM120" i="2"/>
  <c r="AL120" i="2"/>
  <c r="AK120" i="2"/>
  <c r="AJ120" i="2"/>
  <c r="AQ119" i="2"/>
  <c r="AP119" i="2"/>
  <c r="AO119" i="2"/>
  <c r="AN119" i="2"/>
  <c r="AM119" i="2"/>
  <c r="AL119" i="2"/>
  <c r="AK119" i="2"/>
  <c r="AJ119" i="2"/>
  <c r="AQ117" i="2"/>
  <c r="AP117" i="2"/>
  <c r="AO117" i="2"/>
  <c r="AN117" i="2"/>
  <c r="AM117" i="2"/>
  <c r="AL117" i="2"/>
  <c r="AK117" i="2"/>
  <c r="AJ117" i="2"/>
  <c r="AQ116" i="2"/>
  <c r="AP116" i="2"/>
  <c r="AO116" i="2"/>
  <c r="AN116" i="2"/>
  <c r="AM116" i="2"/>
  <c r="AL116" i="2"/>
  <c r="AK116" i="2"/>
  <c r="AJ116" i="2"/>
  <c r="AQ115" i="2"/>
  <c r="AP115" i="2"/>
  <c r="AO115" i="2"/>
  <c r="AN115" i="2"/>
  <c r="AM115" i="2"/>
  <c r="AL115" i="2"/>
  <c r="AK115" i="2"/>
  <c r="AJ115" i="2"/>
  <c r="AQ114" i="2"/>
  <c r="AP114" i="2"/>
  <c r="AO114" i="2"/>
  <c r="AN114" i="2"/>
  <c r="AM114" i="2"/>
  <c r="AL114" i="2"/>
  <c r="AK114" i="2"/>
  <c r="AJ114" i="2"/>
  <c r="AQ111" i="2"/>
  <c r="AP111" i="2"/>
  <c r="AS126" i="2" s="1"/>
  <c r="AO111" i="2"/>
  <c r="AN111" i="2"/>
  <c r="AM111" i="2"/>
  <c r="AL111" i="2"/>
  <c r="AK111" i="2"/>
  <c r="AJ111" i="2"/>
  <c r="AO101" i="2"/>
  <c r="AO100" i="2"/>
  <c r="AO99" i="2"/>
  <c r="AN92" i="2"/>
  <c r="AN87" i="2"/>
  <c r="AK92" i="2"/>
  <c r="AK91" i="2"/>
  <c r="AQ91" i="2" s="1"/>
  <c r="AK90" i="2"/>
  <c r="AQ90" i="2" s="1"/>
  <c r="AK89" i="2"/>
  <c r="AQ89" i="2" s="1"/>
  <c r="AK88" i="2"/>
  <c r="AQ88" i="2" s="1"/>
  <c r="AK87" i="2"/>
  <c r="AK86" i="2"/>
  <c r="AK85" i="2"/>
  <c r="AK84" i="2"/>
  <c r="AK83" i="2"/>
  <c r="AK82" i="2"/>
  <c r="AK81" i="2"/>
  <c r="AK71" i="2"/>
  <c r="AK70" i="2"/>
  <c r="AM65" i="2"/>
  <c r="AM63" i="2"/>
  <c r="AK68" i="2"/>
  <c r="AK67" i="2"/>
  <c r="AK66" i="2"/>
  <c r="AK65" i="2"/>
  <c r="AK64" i="2"/>
  <c r="AK63" i="2"/>
  <c r="AK61" i="2"/>
  <c r="AK60" i="2"/>
  <c r="AM61" i="2"/>
  <c r="AM60" i="2"/>
  <c r="AM58" i="2"/>
  <c r="AM57" i="2"/>
  <c r="AM56" i="2"/>
  <c r="AM55" i="2"/>
  <c r="AK58" i="2"/>
  <c r="AK57" i="2"/>
  <c r="AK56" i="2"/>
  <c r="AK55" i="2"/>
  <c r="AM51" i="2"/>
  <c r="AM50" i="2"/>
  <c r="AM49" i="2"/>
  <c r="AM48" i="2"/>
  <c r="AM46" i="2"/>
  <c r="AM45" i="2"/>
  <c r="AM44" i="2"/>
  <c r="AM43" i="2"/>
  <c r="AM42" i="2"/>
  <c r="AM41" i="2"/>
  <c r="AK51" i="2"/>
  <c r="AK50" i="2"/>
  <c r="AK49" i="2"/>
  <c r="AK48" i="2"/>
  <c r="AK47" i="2"/>
  <c r="AK46" i="2"/>
  <c r="AK45" i="2"/>
  <c r="AK44" i="2"/>
  <c r="AK43" i="2"/>
  <c r="AK42" i="2"/>
  <c r="AK41" i="2"/>
  <c r="AM37" i="2"/>
  <c r="AM36" i="2"/>
  <c r="AJ37" i="2"/>
  <c r="AJ36" i="2"/>
  <c r="AO97" i="2"/>
  <c r="AI50" i="2"/>
  <c r="AI46" i="2"/>
  <c r="AI42" i="2"/>
  <c r="AM31" i="2"/>
  <c r="AM30" i="2"/>
  <c r="AM29" i="2"/>
  <c r="AM28" i="2"/>
  <c r="AM25" i="2"/>
  <c r="AM24" i="2"/>
  <c r="AK29" i="2"/>
  <c r="AK28" i="2"/>
  <c r="AJ31" i="2"/>
  <c r="AJ30" i="2"/>
  <c r="AJ25" i="2"/>
  <c r="AJ24" i="2"/>
  <c r="AN20" i="2"/>
  <c r="AN19" i="2"/>
  <c r="AN18" i="2"/>
  <c r="AJ20" i="2"/>
  <c r="AJ19" i="2"/>
  <c r="AK27" i="2" s="1"/>
  <c r="AJ18" i="2"/>
  <c r="AK26" i="2" s="1"/>
  <c r="AJ17" i="2"/>
  <c r="AN9" i="2"/>
  <c r="AN8" i="2"/>
  <c r="AN7" i="2"/>
  <c r="AN6" i="2"/>
  <c r="AJ12" i="2"/>
  <c r="AN12" i="2" s="1"/>
  <c r="AJ11" i="2"/>
  <c r="AJ10" i="2"/>
  <c r="AJ8" i="2"/>
  <c r="AJ7" i="2"/>
  <c r="AJ6" i="2"/>
  <c r="N13" i="2"/>
  <c r="T13" i="2" s="1"/>
  <c r="AM27" i="2" s="1"/>
  <c r="N12" i="2"/>
  <c r="AJ9" i="2"/>
  <c r="AQ5" i="2"/>
  <c r="D9" i="2"/>
  <c r="AO185" i="2" l="1"/>
  <c r="AQ36" i="2"/>
  <c r="AR135" i="2"/>
  <c r="AO175" i="2"/>
  <c r="AR144" i="2"/>
  <c r="AR129" i="2"/>
  <c r="AR145" i="2"/>
  <c r="AS123" i="2"/>
  <c r="AS114" i="2"/>
  <c r="AS115" i="2"/>
  <c r="AS124" i="2"/>
  <c r="AS108" i="2"/>
  <c r="AL168" i="2" s="1"/>
  <c r="AQ25" i="2"/>
  <c r="AR127" i="2"/>
  <c r="AR137" i="2"/>
  <c r="AS125" i="2"/>
  <c r="AR120" i="2"/>
  <c r="AS134" i="2"/>
  <c r="AR139" i="2"/>
  <c r="AR140" i="2"/>
  <c r="AR142" i="2"/>
  <c r="AS143" i="2"/>
  <c r="AO183" i="2"/>
  <c r="AO208" i="2"/>
  <c r="AO173" i="2"/>
  <c r="AQ24" i="2"/>
  <c r="AQ37" i="2"/>
  <c r="AR119" i="2"/>
  <c r="AS142" i="2"/>
  <c r="AR122" i="2"/>
  <c r="AS116" i="2"/>
  <c r="AR123" i="2"/>
  <c r="AS117" i="2"/>
  <c r="AS127" i="2"/>
  <c r="AR143" i="2"/>
  <c r="AR147" i="2"/>
  <c r="AS137" i="2"/>
  <c r="AS147" i="2"/>
  <c r="AO171" i="2"/>
  <c r="AO177" i="2" s="1"/>
  <c r="AO193" i="2"/>
  <c r="AR114" i="2"/>
  <c r="AR124" i="2"/>
  <c r="AS119" i="2"/>
  <c r="AR134" i="2"/>
  <c r="AR146" i="2"/>
  <c r="AR117" i="2"/>
  <c r="AR125" i="2"/>
  <c r="AS120" i="2"/>
  <c r="AS129" i="2"/>
  <c r="AS136" i="2"/>
  <c r="AR116" i="2"/>
  <c r="AR126" i="2"/>
  <c r="AS122" i="2"/>
  <c r="AR136" i="2"/>
  <c r="AR115" i="2"/>
  <c r="AQ87" i="2"/>
  <c r="AS140" i="2"/>
  <c r="AS145" i="2"/>
  <c r="AO170" i="2"/>
  <c r="AO172" i="2"/>
  <c r="AO174" i="2"/>
  <c r="AO184" i="2"/>
  <c r="AO186" i="2"/>
  <c r="AO194" i="2"/>
  <c r="AO196" i="2" s="1"/>
  <c r="AO201" i="2"/>
  <c r="AO203" i="2"/>
  <c r="AO202" i="2"/>
  <c r="AO195" i="2"/>
  <c r="AR108" i="2"/>
  <c r="AS139" i="2"/>
  <c r="AS144" i="2"/>
  <c r="AQ85" i="2"/>
  <c r="AJ163" i="2"/>
  <c r="AI60" i="2"/>
  <c r="AI55" i="2"/>
  <c r="AJ29" i="2"/>
  <c r="AQ29" i="2" s="1"/>
  <c r="AN11" i="2"/>
  <c r="AQ30" i="2"/>
  <c r="AJ28" i="2"/>
  <c r="AQ28" i="2" s="1"/>
  <c r="AL191" i="2" l="1"/>
  <c r="AO188" i="2"/>
  <c r="AO66" i="2"/>
  <c r="AO176" i="2"/>
  <c r="AO197" i="2"/>
  <c r="AO204" i="2"/>
  <c r="AL167" i="2"/>
  <c r="AO67" i="2"/>
  <c r="AO63" i="2"/>
  <c r="AQ63" i="2" s="1"/>
  <c r="AO57" i="2"/>
  <c r="AQ57" i="2" s="1"/>
  <c r="AO64" i="2"/>
  <c r="AO61" i="2"/>
  <c r="AQ61" i="2" s="1"/>
  <c r="AO58" i="2"/>
  <c r="AQ58" i="2" s="1"/>
  <c r="AO68" i="2"/>
  <c r="AO65" i="2"/>
  <c r="AQ65" i="2" s="1"/>
  <c r="AO60" i="2"/>
  <c r="AQ60" i="2" s="1"/>
  <c r="AO55" i="2"/>
  <c r="AQ55" i="2" s="1"/>
  <c r="AO56" i="2"/>
  <c r="AQ56" i="2" s="1"/>
  <c r="AO178" i="2" l="1"/>
  <c r="L140" i="2"/>
  <c r="L137" i="2"/>
  <c r="L136" i="2"/>
  <c r="K24" i="2"/>
  <c r="K25" i="2"/>
  <c r="L129" i="2"/>
  <c r="M129" i="2" l="1"/>
  <c r="L108" i="2"/>
  <c r="I202" i="2" l="1"/>
  <c r="I203" i="2"/>
  <c r="I201" i="2"/>
  <c r="I194" i="2"/>
  <c r="I195" i="2"/>
  <c r="I193" i="2"/>
  <c r="I171" i="2"/>
  <c r="I174" i="2"/>
  <c r="M114" i="2" l="1"/>
  <c r="L114" i="2"/>
  <c r="C44" i="2" l="1"/>
  <c r="C47" i="2" l="1"/>
  <c r="C143" i="2"/>
  <c r="AI143" i="2" s="1"/>
  <c r="C144" i="2"/>
  <c r="AI144" i="2" s="1"/>
  <c r="C145" i="2"/>
  <c r="AI145" i="2" s="1"/>
  <c r="C146" i="2"/>
  <c r="AI146" i="2" s="1"/>
  <c r="C147" i="2"/>
  <c r="AI147" i="2" s="1"/>
  <c r="C142" i="2"/>
  <c r="AI142" i="2" s="1"/>
  <c r="C140" i="2"/>
  <c r="AI140" i="2" s="1"/>
  <c r="C139" i="2"/>
  <c r="AI139" i="2" s="1"/>
  <c r="C135" i="2"/>
  <c r="AI135" i="2" s="1"/>
  <c r="C136" i="2"/>
  <c r="AI136" i="2" s="1"/>
  <c r="C137" i="2"/>
  <c r="AI137" i="2" s="1"/>
  <c r="C134" i="2"/>
  <c r="AI134" i="2" s="1"/>
  <c r="M147" i="2" l="1"/>
  <c r="M146" i="2"/>
  <c r="M145" i="2"/>
  <c r="M144" i="2"/>
  <c r="M143" i="2"/>
  <c r="M142" i="2"/>
  <c r="M140" i="2"/>
  <c r="M139" i="2"/>
  <c r="M137" i="2"/>
  <c r="M136" i="2"/>
  <c r="M135" i="2"/>
  <c r="M134" i="2"/>
  <c r="D28" i="2"/>
  <c r="AB87" i="2" l="1"/>
  <c r="H11" i="2"/>
  <c r="H17" i="2" s="1"/>
  <c r="I208" i="2"/>
  <c r="K87" i="2"/>
  <c r="AR87" i="2" s="1"/>
  <c r="D26" i="2" l="1"/>
  <c r="I44" i="2"/>
  <c r="K44" i="2" s="1"/>
  <c r="I43" i="2"/>
  <c r="K43" i="2" s="1"/>
  <c r="I48" i="2"/>
  <c r="I46" i="2"/>
  <c r="I47" i="2"/>
  <c r="I42" i="2"/>
  <c r="I50" i="2"/>
  <c r="I51" i="2"/>
  <c r="I49" i="2"/>
  <c r="D27" i="2"/>
  <c r="F199" i="2" s="1"/>
  <c r="K86" i="2"/>
  <c r="AA87" i="2" s="1"/>
  <c r="F181" i="2"/>
  <c r="N14" i="2"/>
  <c r="K31" i="2" l="1"/>
  <c r="I187" i="2"/>
  <c r="I186" i="2"/>
  <c r="I185" i="2"/>
  <c r="I184" i="2"/>
  <c r="I183" i="2"/>
  <c r="I175" i="2"/>
  <c r="I173" i="2"/>
  <c r="I172" i="2"/>
  <c r="I170" i="2"/>
  <c r="I176" i="2" s="1"/>
  <c r="I177" i="2" l="1"/>
  <c r="L147" i="2" l="1"/>
  <c r="AM68" i="2"/>
  <c r="AQ68" i="2" s="1"/>
  <c r="L124" i="2"/>
  <c r="L123" i="2"/>
  <c r="L122" i="2"/>
  <c r="L120" i="2"/>
  <c r="L119" i="2"/>
  <c r="L117" i="2"/>
  <c r="L116" i="2"/>
  <c r="M127" i="2"/>
  <c r="L127" i="2"/>
  <c r="M126" i="2"/>
  <c r="M125" i="2"/>
  <c r="M124" i="2"/>
  <c r="M123" i="2"/>
  <c r="M122" i="2"/>
  <c r="M120" i="2"/>
  <c r="M119" i="2"/>
  <c r="M117" i="2"/>
  <c r="M116" i="2"/>
  <c r="M115" i="2"/>
  <c r="E27" i="2" l="1"/>
  <c r="E26" i="2"/>
  <c r="AM64" i="2" l="1"/>
  <c r="AQ64" i="2" s="1"/>
  <c r="AM47" i="2"/>
  <c r="AM66" i="2"/>
  <c r="AQ66" i="2" s="1"/>
  <c r="AM67" i="2"/>
  <c r="AQ67" i="2" s="1"/>
  <c r="AM71" i="2"/>
  <c r="AQ71" i="2" s="1"/>
  <c r="K70" i="2" l="1"/>
  <c r="AA68" i="2" s="1"/>
  <c r="AM70" i="2"/>
  <c r="K5" i="2"/>
  <c r="H12" i="2"/>
  <c r="AA70" i="2" s="1"/>
  <c r="N15" i="2"/>
  <c r="T15" i="2" s="1"/>
  <c r="AJ14" i="2" s="1"/>
  <c r="AA26" i="2"/>
  <c r="AA27" i="2"/>
  <c r="D29" i="2"/>
  <c r="K29" i="2" s="1"/>
  <c r="K30" i="2"/>
  <c r="AA33" i="2" s="1"/>
  <c r="AA35" i="2"/>
  <c r="K36" i="2"/>
  <c r="AA39" i="2" s="1"/>
  <c r="K37" i="2"/>
  <c r="AA40" i="2" s="1"/>
  <c r="C41" i="2"/>
  <c r="C42" i="2"/>
  <c r="C45" i="2"/>
  <c r="C46" i="2"/>
  <c r="C48" i="2"/>
  <c r="C49" i="2"/>
  <c r="AA52" i="2"/>
  <c r="C50" i="2"/>
  <c r="C55" i="2"/>
  <c r="C56" i="2"/>
  <c r="C60" i="2"/>
  <c r="C63" i="2"/>
  <c r="C64" i="2"/>
  <c r="C66" i="2"/>
  <c r="C67" i="2"/>
  <c r="AA77" i="2"/>
  <c r="K71" i="2"/>
  <c r="AA69" i="2" s="1"/>
  <c r="AA79" i="2"/>
  <c r="K85" i="2"/>
  <c r="K88" i="2"/>
  <c r="K89" i="2"/>
  <c r="K90" i="2"/>
  <c r="AR90" i="2" s="1"/>
  <c r="AA93" i="2"/>
  <c r="K91" i="2"/>
  <c r="AA95" i="2"/>
  <c r="M108" i="2"/>
  <c r="L115" i="2"/>
  <c r="L125" i="2"/>
  <c r="L126" i="2"/>
  <c r="L134" i="2"/>
  <c r="L135" i="2"/>
  <c r="L139" i="2"/>
  <c r="L142" i="2"/>
  <c r="L143" i="2"/>
  <c r="L144" i="2"/>
  <c r="L146" i="2"/>
  <c r="D163" i="2"/>
  <c r="AA85" i="2" l="1"/>
  <c r="AR85" i="2"/>
  <c r="AA91" i="2"/>
  <c r="AR91" i="2"/>
  <c r="AA89" i="2"/>
  <c r="AR89" i="2"/>
  <c r="AA88" i="2"/>
  <c r="AR88" i="2"/>
  <c r="F168" i="2"/>
  <c r="I57" i="2"/>
  <c r="K57" i="2" s="1"/>
  <c r="I58" i="2"/>
  <c r="K58" i="2" s="1"/>
  <c r="I61" i="2"/>
  <c r="K61" i="2" s="1"/>
  <c r="AA90" i="2"/>
  <c r="K28" i="2"/>
  <c r="AA31" i="2" s="1"/>
  <c r="K83" i="2"/>
  <c r="K84" i="2"/>
  <c r="K82" i="2"/>
  <c r="K81" i="2"/>
  <c r="K45" i="2"/>
  <c r="AA43" i="2" s="1"/>
  <c r="K49" i="2"/>
  <c r="AA49" i="2" s="1"/>
  <c r="K42" i="2"/>
  <c r="AA42" i="2" s="1"/>
  <c r="K50" i="2"/>
  <c r="AA50" i="2" s="1"/>
  <c r="K48" i="2"/>
  <c r="AA48" i="2" s="1"/>
  <c r="K41" i="2"/>
  <c r="K46" i="2"/>
  <c r="AA44" i="2" s="1"/>
  <c r="K47" i="2"/>
  <c r="AA45" i="2" s="1"/>
  <c r="I63" i="2"/>
  <c r="K63" i="2" s="1"/>
  <c r="AA58" i="2" s="1"/>
  <c r="K51" i="2"/>
  <c r="AA51" i="2"/>
  <c r="I204" i="2"/>
  <c r="I196" i="2"/>
  <c r="I188" i="2"/>
  <c r="I189" i="2" s="1"/>
  <c r="AA86" i="2"/>
  <c r="T14" i="2"/>
  <c r="AJ13" i="2" s="1"/>
  <c r="AA32" i="2"/>
  <c r="F167" i="2"/>
  <c r="I178" i="2" s="1"/>
  <c r="AN17" i="2" l="1"/>
  <c r="AJ26" i="2" s="1"/>
  <c r="AQ86" i="2"/>
  <c r="AR86" i="2" s="1"/>
  <c r="AL181" i="2"/>
  <c r="AO189" i="2" s="1"/>
  <c r="AQ70" i="2"/>
  <c r="AA41" i="2"/>
  <c r="I67" i="2"/>
  <c r="K67" i="2" s="1"/>
  <c r="AA67" i="2" s="1"/>
  <c r="I60" i="2"/>
  <c r="K60" i="2" s="1"/>
  <c r="AA56" i="2" s="1"/>
  <c r="I55" i="2"/>
  <c r="K55" i="2" s="1"/>
  <c r="AA53" i="2" s="1"/>
  <c r="I64" i="2"/>
  <c r="K64" i="2" s="1"/>
  <c r="AA59" i="2" s="1"/>
  <c r="I68" i="2"/>
  <c r="K68" i="2" s="1"/>
  <c r="I66" i="2"/>
  <c r="K66" i="2" s="1"/>
  <c r="AA66" i="2" s="1"/>
  <c r="F191" i="2"/>
  <c r="I65" i="2"/>
  <c r="K65" i="2" s="1"/>
  <c r="AA63" i="2" s="1"/>
  <c r="I56" i="2"/>
  <c r="K56" i="2" s="1"/>
  <c r="AA55" i="2" s="1"/>
  <c r="AA82" i="2"/>
  <c r="AA83" i="2"/>
  <c r="AA81" i="2"/>
  <c r="AA84" i="2"/>
  <c r="AA34" i="2"/>
  <c r="K27" i="2"/>
  <c r="AQ31" i="2" l="1"/>
  <c r="AJ27" i="2"/>
  <c r="AL199" i="2" s="1"/>
  <c r="AO205" i="2" s="1"/>
  <c r="AO210" i="2" s="1"/>
  <c r="AQ80" i="2" s="1"/>
  <c r="AQ82" i="2"/>
  <c r="AR82" i="2" s="1"/>
  <c r="AQ83" i="2"/>
  <c r="AR83" i="2" s="1"/>
  <c r="AO51" i="2"/>
  <c r="AQ51" i="2" s="1"/>
  <c r="AQ84" i="2"/>
  <c r="AR84" i="2" s="1"/>
  <c r="AO45" i="2"/>
  <c r="AQ45" i="2" s="1"/>
  <c r="AO42" i="2"/>
  <c r="AQ42" i="2" s="1"/>
  <c r="AO44" i="2"/>
  <c r="AQ44" i="2" s="1"/>
  <c r="AO41" i="2"/>
  <c r="AQ41" i="2" s="1"/>
  <c r="AO50" i="2"/>
  <c r="AQ50" i="2" s="1"/>
  <c r="AO48" i="2"/>
  <c r="AQ48" i="2" s="1"/>
  <c r="AO46" i="2"/>
  <c r="AQ46" i="2" s="1"/>
  <c r="AO43" i="2"/>
  <c r="AQ43" i="2" s="1"/>
  <c r="AO49" i="2"/>
  <c r="AQ49" i="2" s="1"/>
  <c r="AQ81" i="2"/>
  <c r="AR81" i="2" s="1"/>
  <c r="AO47" i="2"/>
  <c r="AQ47" i="2" s="1"/>
  <c r="AR6" i="2"/>
  <c r="AR3" i="2" s="1"/>
  <c r="AR8" i="2"/>
  <c r="AQ27" i="2"/>
  <c r="I197" i="2"/>
  <c r="I205" i="2"/>
  <c r="K78" i="2"/>
  <c r="AA78" i="2" s="1"/>
  <c r="AK80" i="2" l="1"/>
  <c r="AS52" i="2"/>
  <c r="AQ78" i="2"/>
  <c r="AQ92" i="2" s="1"/>
  <c r="AR4" i="2"/>
  <c r="I210" i="2"/>
  <c r="K80" i="2" s="1"/>
  <c r="E80" i="2" s="1"/>
  <c r="AR80" i="2" l="1"/>
  <c r="AQ94" i="2"/>
  <c r="AR94" i="2" s="1"/>
  <c r="AA14" i="2" s="1"/>
  <c r="AA80" i="2"/>
  <c r="K92" i="2"/>
  <c r="AA92" i="2" s="1"/>
  <c r="AR92" i="2" l="1"/>
  <c r="K94" i="2"/>
  <c r="AA94" i="2" l="1"/>
  <c r="AA8" i="2" l="1"/>
  <c r="AA6" i="2"/>
  <c r="K26" i="2"/>
  <c r="K99" i="2" l="1"/>
  <c r="AQ100" i="2"/>
  <c r="AQ101" i="2"/>
  <c r="AQ99" i="2"/>
  <c r="AA30" i="2"/>
  <c r="K33" i="2"/>
  <c r="K100" i="2"/>
  <c r="AA7" i="2"/>
  <c r="K101" i="2"/>
  <c r="K96" i="2" l="1"/>
  <c r="K97" i="2" s="1"/>
  <c r="N20" i="2" s="1"/>
  <c r="AA36" i="2"/>
  <c r="AA9" i="2"/>
  <c r="T12" i="2"/>
  <c r="I97" i="2"/>
  <c r="AA96" i="2" l="1"/>
  <c r="AM26" i="2"/>
  <c r="AQ26" i="2" s="1"/>
  <c r="AQ33" i="2" s="1"/>
  <c r="AQ96" i="2" s="1"/>
  <c r="AQ97" i="2" s="1"/>
  <c r="AA12" i="2"/>
  <c r="AA20" i="2" s="1"/>
  <c r="AR7" i="2" l="1"/>
  <c r="AR9" i="2" s="1"/>
  <c r="AR32" i="2"/>
  <c r="AS32" i="2" s="1"/>
  <c r="AA13" i="2" l="1"/>
  <c r="AA21" i="2"/>
  <c r="N2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 John (OMAFRA)</author>
  </authors>
  <commentList>
    <comment ref="D9" authorId="0" shapeId="0" xr:uid="{D376DEF1-31BA-43B8-98C1-8A64DEF9002E}">
      <text>
        <r>
          <rPr>
            <b/>
            <sz val="12"/>
            <color indexed="81"/>
            <rFont val="Tahoma"/>
            <family val="2"/>
          </rPr>
          <t xml:space="preserve">Replacement Ewes Raised: 
</t>
        </r>
        <r>
          <rPr>
            <sz val="12"/>
            <color indexed="81"/>
            <rFont val="Tahoma"/>
            <family val="2"/>
          </rPr>
          <t xml:space="preserve">This is the # of replacements needed to maintain the total flock based on cull rate and death loss
</t>
        </r>
      </text>
    </comment>
    <comment ref="AJ9" authorId="0" shapeId="0" xr:uid="{D4A14104-4661-409B-B69E-C70F9BFB1ED0}">
      <text>
        <r>
          <rPr>
            <b/>
            <sz val="12"/>
            <color indexed="81"/>
            <rFont val="Tahoma"/>
            <family val="2"/>
          </rPr>
          <t xml:space="preserve">Replacement Ewes Raised: 
</t>
        </r>
        <r>
          <rPr>
            <sz val="12"/>
            <color indexed="81"/>
            <rFont val="Tahoma"/>
            <family val="2"/>
          </rPr>
          <t xml:space="preserve">This is the # of replacements needed to maintain the total flock based on cull rate and death loss
</t>
        </r>
      </text>
    </comment>
    <comment ref="H11" authorId="0" shapeId="0" xr:uid="{B8DBF153-C6BE-469D-92C7-ED756F101509}">
      <text>
        <r>
          <rPr>
            <b/>
            <sz val="12"/>
            <color indexed="81"/>
            <rFont val="Tahoma"/>
            <family val="2"/>
          </rPr>
          <t xml:space="preserve"># Ewes Lambing:
</t>
        </r>
        <r>
          <rPr>
            <sz val="12"/>
            <color indexed="81"/>
            <rFont val="Tahoma"/>
            <family val="2"/>
          </rPr>
          <t>conception rate % x # ewes in flock</t>
        </r>
      </text>
    </comment>
    <comment ref="AN11" authorId="0" shapeId="0" xr:uid="{BEF4A6A4-ABB7-4064-8ADB-0328E329710A}">
      <text>
        <r>
          <rPr>
            <b/>
            <sz val="12"/>
            <color indexed="81"/>
            <rFont val="Tahoma"/>
            <family val="2"/>
          </rPr>
          <t xml:space="preserve"># Ewes Lambing:
</t>
        </r>
        <r>
          <rPr>
            <sz val="12"/>
            <color indexed="81"/>
            <rFont val="Tahoma"/>
            <family val="2"/>
          </rPr>
          <t>conception rate % x # ewes in flock</t>
        </r>
      </text>
    </comment>
    <comment ref="H12" authorId="0" shapeId="0" xr:uid="{EE2BBF2F-3927-4193-B46D-9A51DB961CAB}">
      <text>
        <r>
          <rPr>
            <b/>
            <sz val="12"/>
            <color indexed="81"/>
            <rFont val="Tahoma"/>
            <family val="2"/>
          </rPr>
          <t xml:space="preserve">Days on Pasture:
</t>
        </r>
        <r>
          <rPr>
            <sz val="12"/>
            <color indexed="81"/>
            <rFont val="Tahoma"/>
            <family val="2"/>
          </rPr>
          <t xml:space="preserve">365 days minus number of days on stored feed entered
</t>
        </r>
      </text>
    </comment>
    <comment ref="AN12" authorId="0" shapeId="0" xr:uid="{C54DB5A0-78A9-427C-9EB8-599E6905146A}">
      <text>
        <r>
          <rPr>
            <b/>
            <sz val="12"/>
            <color indexed="81"/>
            <rFont val="Tahoma"/>
            <family val="2"/>
          </rPr>
          <t xml:space="preserve">Days on Pasture:
</t>
        </r>
        <r>
          <rPr>
            <sz val="12"/>
            <color indexed="81"/>
            <rFont val="Tahoma"/>
            <family val="2"/>
          </rPr>
          <t xml:space="preserve">365 days minus number of days on stored feed entered
</t>
        </r>
      </text>
    </comment>
    <comment ref="H17" authorId="0" shapeId="0" xr:uid="{5F479965-5CFA-4E13-B920-88CF4F469D4E}">
      <text>
        <r>
          <rPr>
            <b/>
            <sz val="12"/>
            <color indexed="81"/>
            <rFont val="Tahoma"/>
            <family val="2"/>
          </rPr>
          <t xml:space="preserve">Total lambs marketed:
</t>
        </r>
        <r>
          <rPr>
            <sz val="12"/>
            <color indexed="81"/>
            <rFont val="Tahoma"/>
            <family val="2"/>
          </rPr>
          <t xml:space="preserve">Ewes lambing x lambs weaned/lambing - post weaning lamb loss - replacements kept - replacements sold
</t>
        </r>
      </text>
    </comment>
    <comment ref="AN17" authorId="0" shapeId="0" xr:uid="{818CB2C9-CA72-42AF-AF3A-CC689A898650}">
      <text>
        <r>
          <rPr>
            <b/>
            <sz val="12"/>
            <color indexed="81"/>
            <rFont val="Tahoma"/>
            <family val="2"/>
          </rPr>
          <t xml:space="preserve">Total lambs marketed:
</t>
        </r>
        <r>
          <rPr>
            <sz val="12"/>
            <color indexed="81"/>
            <rFont val="Tahoma"/>
            <family val="2"/>
          </rPr>
          <t xml:space="preserve">Ewes lambing x lambs weaned/lambing - post weaning lamb loss - replacements kept - replacements sold
</t>
        </r>
      </text>
    </comment>
    <comment ref="D26" authorId="0" shapeId="0" xr:uid="{88805560-BE35-41F5-9D3F-7E1078CD060F}">
      <text>
        <r>
          <rPr>
            <b/>
            <sz val="12"/>
            <color indexed="81"/>
            <rFont val="Tahoma"/>
            <family val="2"/>
          </rPr>
          <t>Market Pasture Lambs:</t>
        </r>
        <r>
          <rPr>
            <sz val="12"/>
            <color indexed="81"/>
            <rFont val="Tahoma"/>
            <family val="2"/>
          </rPr>
          <t xml:space="preserve">
Total # market lambs x % finished on pasture
</t>
        </r>
      </text>
    </comment>
    <comment ref="E26" authorId="0" shapeId="0" xr:uid="{CCA73E26-61E5-4871-ABDD-2A25030AEB3B}">
      <text>
        <r>
          <rPr>
            <b/>
            <sz val="12"/>
            <color indexed="81"/>
            <rFont val="Tahoma"/>
            <family val="2"/>
          </rPr>
          <t xml:space="preserve">Market pasture lambs weight:
</t>
        </r>
        <r>
          <rPr>
            <sz val="12"/>
            <color indexed="81"/>
            <rFont val="Tahoma"/>
            <family val="2"/>
          </rPr>
          <t xml:space="preserve">ave finishing pasture weight x 6% shrink
</t>
        </r>
      </text>
    </comment>
    <comment ref="AJ26" authorId="0" shapeId="0" xr:uid="{DD924678-6923-4BBB-8FBB-1F8CB63961A1}">
      <text>
        <r>
          <rPr>
            <b/>
            <sz val="12"/>
            <color indexed="81"/>
            <rFont val="Tahoma"/>
            <family val="2"/>
          </rPr>
          <t>Market Pasture Lambs:</t>
        </r>
        <r>
          <rPr>
            <sz val="12"/>
            <color indexed="81"/>
            <rFont val="Tahoma"/>
            <family val="2"/>
          </rPr>
          <t xml:space="preserve">
Total # market lambs x % finished on pasture
</t>
        </r>
      </text>
    </comment>
    <comment ref="AK26" authorId="0" shapeId="0" xr:uid="{3067608E-4EFB-4AA1-82D2-E5A09095CC62}">
      <text>
        <r>
          <rPr>
            <b/>
            <sz val="12"/>
            <color indexed="81"/>
            <rFont val="Tahoma"/>
            <family val="2"/>
          </rPr>
          <t xml:space="preserve">Market pasture lambs weight:
</t>
        </r>
        <r>
          <rPr>
            <sz val="12"/>
            <color indexed="81"/>
            <rFont val="Tahoma"/>
            <family val="2"/>
          </rPr>
          <t xml:space="preserve">ave finishing pasture weight x 6% shrink
</t>
        </r>
      </text>
    </comment>
    <comment ref="D27" authorId="0" shapeId="0" xr:uid="{AD48D37C-7AB4-4C7A-8D81-92FB49C3F7DA}">
      <text>
        <r>
          <rPr>
            <b/>
            <sz val="12"/>
            <color indexed="81"/>
            <rFont val="Tahoma"/>
            <family val="2"/>
          </rPr>
          <t xml:space="preserve">Market feedlot lambs:
</t>
        </r>
        <r>
          <rPr>
            <sz val="12"/>
            <color indexed="81"/>
            <rFont val="Tahoma"/>
            <family val="2"/>
          </rPr>
          <t>Numbers of market lambs x % not finished on pasture</t>
        </r>
      </text>
    </comment>
    <comment ref="E27" authorId="0" shapeId="0" xr:uid="{F95521F5-2DD1-45B3-99A8-ACE10EF85316}">
      <text>
        <r>
          <rPr>
            <b/>
            <sz val="12"/>
            <color indexed="81"/>
            <rFont val="Tahoma"/>
            <family val="2"/>
          </rPr>
          <t>Market feedlot lambs weight:</t>
        </r>
        <r>
          <rPr>
            <sz val="12"/>
            <color indexed="81"/>
            <rFont val="Tahoma"/>
            <family val="2"/>
          </rPr>
          <t xml:space="preserve">
ave feedlot finishing weight x 6% shrink</t>
        </r>
      </text>
    </comment>
    <comment ref="AJ27" authorId="0" shapeId="0" xr:uid="{7478E7BA-C152-4DAC-8210-4CCB8D2A626D}">
      <text>
        <r>
          <rPr>
            <b/>
            <sz val="12"/>
            <color indexed="81"/>
            <rFont val="Tahoma"/>
            <family val="2"/>
          </rPr>
          <t xml:space="preserve">Market feedlot lambs:
</t>
        </r>
        <r>
          <rPr>
            <sz val="12"/>
            <color indexed="81"/>
            <rFont val="Tahoma"/>
            <family val="2"/>
          </rPr>
          <t>Numbers of market lambs x % not finished on pasture</t>
        </r>
      </text>
    </comment>
    <comment ref="AK27" authorId="0" shapeId="0" xr:uid="{1ACD44A6-33F4-4A40-9578-917B84C9561C}">
      <text>
        <r>
          <rPr>
            <b/>
            <sz val="12"/>
            <color indexed="81"/>
            <rFont val="Tahoma"/>
            <family val="2"/>
          </rPr>
          <t>Market feedlot lambs weight:</t>
        </r>
        <r>
          <rPr>
            <sz val="12"/>
            <color indexed="81"/>
            <rFont val="Tahoma"/>
            <family val="2"/>
          </rPr>
          <t xml:space="preserve">
ave feedlot finishing weight x 6% shrink</t>
        </r>
      </text>
    </comment>
    <comment ref="D28" authorId="0" shapeId="0" xr:uid="{ABFCC20F-B9B9-4D8B-906D-14C7644D230E}">
      <text>
        <r>
          <rPr>
            <b/>
            <sz val="12"/>
            <color indexed="81"/>
            <rFont val="Tahoma"/>
            <family val="2"/>
          </rPr>
          <t xml:space="preserve">Cull Ewes:
</t>
        </r>
        <r>
          <rPr>
            <sz val="12"/>
            <color indexed="81"/>
            <rFont val="Tahoma"/>
            <family val="2"/>
          </rPr>
          <t xml:space="preserve">Numbers of ewes in flock x ewe cull rate
</t>
        </r>
      </text>
    </comment>
    <comment ref="AJ28" authorId="0" shapeId="0" xr:uid="{083897BE-D728-4607-8185-957A70878D8B}">
      <text>
        <r>
          <rPr>
            <b/>
            <sz val="12"/>
            <color indexed="81"/>
            <rFont val="Tahoma"/>
            <family val="2"/>
          </rPr>
          <t xml:space="preserve">Cull Ewes:
</t>
        </r>
        <r>
          <rPr>
            <sz val="12"/>
            <color indexed="81"/>
            <rFont val="Tahoma"/>
            <family val="2"/>
          </rPr>
          <t xml:space="preserve">Numbers of ewes in flock x ewe cull rate
</t>
        </r>
      </text>
    </comment>
    <comment ref="D29" authorId="0" shapeId="0" xr:uid="{99ADB253-14EB-4B59-A71E-883F501A793D}">
      <text>
        <r>
          <rPr>
            <b/>
            <sz val="12"/>
            <color indexed="81"/>
            <rFont val="Tahoma"/>
            <family val="2"/>
          </rPr>
          <t xml:space="preserve">Cull Rams:
</t>
        </r>
        <r>
          <rPr>
            <sz val="12"/>
            <color indexed="81"/>
            <rFont val="Tahoma"/>
            <family val="2"/>
          </rPr>
          <t xml:space="preserve"># of rams x ram cull rate
</t>
        </r>
      </text>
    </comment>
    <comment ref="AJ29" authorId="0" shapeId="0" xr:uid="{AB4D3D5E-2565-443C-A223-4614B1E4BCA5}">
      <text>
        <r>
          <rPr>
            <b/>
            <sz val="12"/>
            <color indexed="81"/>
            <rFont val="Tahoma"/>
            <family val="2"/>
          </rPr>
          <t xml:space="preserve">Cull Rams:
</t>
        </r>
        <r>
          <rPr>
            <sz val="12"/>
            <color indexed="81"/>
            <rFont val="Tahoma"/>
            <family val="2"/>
          </rPr>
          <t xml:space="preserve"># of rams x ram cull rate
</t>
        </r>
      </text>
    </comment>
    <comment ref="E80" authorId="0" shapeId="0" xr:uid="{13875F0C-CD03-499F-BD95-AC0CCF8ADE14}">
      <text>
        <r>
          <rPr>
            <b/>
            <sz val="12"/>
            <color indexed="81"/>
            <rFont val="Tahoma"/>
            <family val="2"/>
          </rPr>
          <t xml:space="preserve">Health program per ewe:
</t>
        </r>
        <r>
          <rPr>
            <sz val="12"/>
            <color indexed="81"/>
            <rFont val="Tahoma"/>
            <family val="2"/>
          </rPr>
          <t xml:space="preserve">Total flock health program costs divided by # of ewes in flock
</t>
        </r>
      </text>
    </comment>
    <comment ref="AK80" authorId="0" shapeId="0" xr:uid="{0F76CD24-427E-4266-BA7F-9C34CF96071D}">
      <text>
        <r>
          <rPr>
            <b/>
            <sz val="12"/>
            <color indexed="81"/>
            <rFont val="Tahoma"/>
            <family val="2"/>
          </rPr>
          <t xml:space="preserve">Health program per ewe:
</t>
        </r>
        <r>
          <rPr>
            <sz val="12"/>
            <color indexed="81"/>
            <rFont val="Tahoma"/>
            <family val="2"/>
          </rPr>
          <t xml:space="preserve">Total flock health program costs divided by # of ewes in flock
</t>
        </r>
      </text>
    </comment>
    <comment ref="K96" authorId="0" shapeId="0" xr:uid="{39BD048B-9AB9-4597-8254-3F8D979F280D}">
      <text>
        <r>
          <rPr>
            <b/>
            <sz val="12"/>
            <color indexed="81"/>
            <rFont val="Tahoma"/>
            <family val="2"/>
          </rPr>
          <t>Return to equity, management and labour:</t>
        </r>
        <r>
          <rPr>
            <sz val="9"/>
            <color indexed="81"/>
            <rFont val="Tahoma"/>
            <family val="2"/>
          </rPr>
          <t xml:space="preserve">
</t>
        </r>
        <r>
          <rPr>
            <sz val="12"/>
            <color indexed="81"/>
            <rFont val="Tahoma"/>
            <family val="2"/>
          </rPr>
          <t>Total cash income minus variable costs</t>
        </r>
      </text>
    </comment>
    <comment ref="AQ96" authorId="0" shapeId="0" xr:uid="{49EE89FE-2E71-4B9D-9C4F-C70D30B1957E}">
      <text>
        <r>
          <rPr>
            <b/>
            <sz val="12"/>
            <color indexed="81"/>
            <rFont val="Tahoma"/>
            <family val="2"/>
          </rPr>
          <t>Return to equity, management and labour:</t>
        </r>
        <r>
          <rPr>
            <sz val="9"/>
            <color indexed="81"/>
            <rFont val="Tahoma"/>
            <family val="2"/>
          </rPr>
          <t xml:space="preserve">
</t>
        </r>
        <r>
          <rPr>
            <sz val="12"/>
            <color indexed="81"/>
            <rFont val="Tahoma"/>
            <family val="2"/>
          </rPr>
          <t>Total cash income minus variable costs</t>
        </r>
      </text>
    </comment>
    <comment ref="I97" authorId="0" shapeId="0" xr:uid="{70D79747-BE6F-4CBA-B122-E894CC896F1E}">
      <text>
        <r>
          <rPr>
            <b/>
            <sz val="12"/>
            <color indexed="81"/>
            <rFont val="Tahoma"/>
            <family val="2"/>
          </rPr>
          <t xml:space="preserve">Average lamb price:
</t>
        </r>
        <r>
          <rPr>
            <sz val="12"/>
            <color indexed="81"/>
            <rFont val="Tahoma"/>
            <family val="2"/>
          </rPr>
          <t>Weighted ave market lamb price received for feedlot and pasture lambs</t>
        </r>
        <r>
          <rPr>
            <sz val="9"/>
            <color indexed="81"/>
            <rFont val="Tahoma"/>
            <family val="2"/>
          </rPr>
          <t xml:space="preserve">
</t>
        </r>
      </text>
    </comment>
    <comment ref="K97" authorId="0" shapeId="0" xr:uid="{0D4FDF78-17E4-4AE4-A640-70E777D432D7}">
      <text>
        <r>
          <rPr>
            <b/>
            <sz val="12"/>
            <color indexed="81"/>
            <rFont val="Tahoma"/>
            <family val="2"/>
          </rPr>
          <t>Net return per ewe:</t>
        </r>
        <r>
          <rPr>
            <sz val="9"/>
            <color indexed="81"/>
            <rFont val="Tahoma"/>
            <family val="2"/>
          </rPr>
          <t xml:space="preserve">
</t>
        </r>
        <r>
          <rPr>
            <sz val="12"/>
            <color indexed="81"/>
            <rFont val="Tahoma"/>
            <family val="2"/>
          </rPr>
          <t>Return to equity, management and operator labour divided by the number of ewes in the flock</t>
        </r>
      </text>
    </comment>
    <comment ref="AO97" authorId="0" shapeId="0" xr:uid="{3AC57CB8-925F-4BB9-A6E7-584BB85BF601}">
      <text>
        <r>
          <rPr>
            <b/>
            <sz val="12"/>
            <color indexed="81"/>
            <rFont val="Tahoma"/>
            <family val="2"/>
          </rPr>
          <t xml:space="preserve">Average lamb price:
</t>
        </r>
        <r>
          <rPr>
            <sz val="12"/>
            <color indexed="81"/>
            <rFont val="Tahoma"/>
            <family val="2"/>
          </rPr>
          <t>Weighted ave market lamb price received for feedlot and pasture lambs</t>
        </r>
        <r>
          <rPr>
            <sz val="9"/>
            <color indexed="81"/>
            <rFont val="Tahoma"/>
            <family val="2"/>
          </rPr>
          <t xml:space="preserve">
</t>
        </r>
      </text>
    </comment>
    <comment ref="AQ97" authorId="0" shapeId="0" xr:uid="{43E625D9-1FFD-4877-9D78-8270A507797F}">
      <text>
        <r>
          <rPr>
            <b/>
            <sz val="12"/>
            <color indexed="81"/>
            <rFont val="Tahoma"/>
            <family val="2"/>
          </rPr>
          <t>Net return per ewe:</t>
        </r>
        <r>
          <rPr>
            <sz val="9"/>
            <color indexed="81"/>
            <rFont val="Tahoma"/>
            <family val="2"/>
          </rPr>
          <t xml:space="preserve">
</t>
        </r>
        <r>
          <rPr>
            <sz val="12"/>
            <color indexed="81"/>
            <rFont val="Tahoma"/>
            <family val="2"/>
          </rPr>
          <t>Return to equity, management and operator labour divided by the number of ewes in the flock</t>
        </r>
      </text>
    </comment>
    <comment ref="L108" authorId="0" shapeId="0" xr:uid="{E7322CBE-74D3-4555-9DAF-DF797A638676}">
      <text>
        <r>
          <rPr>
            <b/>
            <sz val="12"/>
            <color indexed="81"/>
            <rFont val="Tahoma"/>
            <family val="2"/>
          </rPr>
          <t xml:space="preserve">Number of mature ewes:
</t>
        </r>
        <r>
          <rPr>
            <sz val="12"/>
            <color indexed="81"/>
            <rFont val="Tahoma"/>
            <family val="2"/>
          </rPr>
          <t>Total number of ewes minus # culled and died</t>
        </r>
        <r>
          <rPr>
            <sz val="9"/>
            <color indexed="81"/>
            <rFont val="Tahoma"/>
            <family val="2"/>
          </rPr>
          <t xml:space="preserve">
</t>
        </r>
      </text>
    </comment>
    <comment ref="M108" authorId="0" shapeId="0" xr:uid="{3963467A-E5B6-4BDC-B694-56DE0BCFC786}">
      <text>
        <r>
          <rPr>
            <b/>
            <sz val="12"/>
            <color indexed="81"/>
            <rFont val="Tahoma"/>
            <family val="2"/>
          </rPr>
          <t xml:space="preserve">Number of mature rams:
</t>
        </r>
        <r>
          <rPr>
            <sz val="12"/>
            <color indexed="81"/>
            <rFont val="Tahoma"/>
            <family val="2"/>
          </rPr>
          <t>Number of rams calculated at 2 rams per 100 ewes in the flock</t>
        </r>
        <r>
          <rPr>
            <sz val="9"/>
            <color indexed="81"/>
            <rFont val="Tahoma"/>
            <family val="2"/>
          </rPr>
          <t xml:space="preserve">
</t>
        </r>
      </text>
    </comment>
    <comment ref="AR108" authorId="0" shapeId="0" xr:uid="{AE95D0F1-A6D1-48E1-A44F-ABEF6AC75FCE}">
      <text>
        <r>
          <rPr>
            <b/>
            <sz val="12"/>
            <color indexed="81"/>
            <rFont val="Tahoma"/>
            <family val="2"/>
          </rPr>
          <t xml:space="preserve">Number of mature ewes:
</t>
        </r>
        <r>
          <rPr>
            <sz val="12"/>
            <color indexed="81"/>
            <rFont val="Tahoma"/>
            <family val="2"/>
          </rPr>
          <t>Total number of ewes minus # culled and died</t>
        </r>
        <r>
          <rPr>
            <sz val="9"/>
            <color indexed="81"/>
            <rFont val="Tahoma"/>
            <family val="2"/>
          </rPr>
          <t xml:space="preserve">
</t>
        </r>
      </text>
    </comment>
    <comment ref="AS108" authorId="0" shapeId="0" xr:uid="{94D4102D-F62B-4F65-A6F6-7E7C08F421C5}">
      <text>
        <r>
          <rPr>
            <b/>
            <sz val="12"/>
            <color indexed="81"/>
            <rFont val="Tahoma"/>
            <family val="2"/>
          </rPr>
          <t xml:space="preserve">Number of mature rams:
</t>
        </r>
        <r>
          <rPr>
            <sz val="12"/>
            <color indexed="81"/>
            <rFont val="Tahoma"/>
            <family val="2"/>
          </rPr>
          <t>Number of rams calculated at 2 rams per 100 ewes in the flock</t>
        </r>
        <r>
          <rPr>
            <sz val="9"/>
            <color indexed="81"/>
            <rFont val="Tahoma"/>
            <family val="2"/>
          </rPr>
          <t xml:space="preserve">
</t>
        </r>
      </text>
    </comment>
    <comment ref="L129" authorId="0" shapeId="0" xr:uid="{86215C62-5B88-405B-AAE2-99A8DD056D8D}">
      <text>
        <r>
          <rPr>
            <b/>
            <sz val="12"/>
            <color indexed="81"/>
            <rFont val="Tahoma"/>
            <family val="2"/>
          </rPr>
          <t xml:space="preserve">Number of replacement ewes:
</t>
        </r>
        <r>
          <rPr>
            <sz val="12"/>
            <color indexed="81"/>
            <rFont val="Tahoma"/>
            <family val="2"/>
          </rPr>
          <t># of replacement ewes kept plus # replacement ewes bought</t>
        </r>
        <r>
          <rPr>
            <sz val="9"/>
            <color indexed="81"/>
            <rFont val="Tahoma"/>
            <family val="2"/>
          </rPr>
          <t xml:space="preserve">
</t>
        </r>
      </text>
    </comment>
    <comment ref="M129" authorId="0" shapeId="0" xr:uid="{F66BAE2B-E609-4D64-A0D9-95AE66E9D2E9}">
      <text>
        <r>
          <rPr>
            <b/>
            <sz val="12"/>
            <color indexed="81"/>
            <rFont val="Tahoma"/>
            <family val="2"/>
          </rPr>
          <t xml:space="preserve">Number of replacement rams:
</t>
        </r>
        <r>
          <rPr>
            <sz val="12"/>
            <color indexed="81"/>
            <rFont val="Tahoma"/>
            <family val="2"/>
          </rPr>
          <t># replacement rams kept plus number of replacement rams bought</t>
        </r>
        <r>
          <rPr>
            <sz val="9"/>
            <color indexed="81"/>
            <rFont val="Tahoma"/>
            <family val="2"/>
          </rPr>
          <t xml:space="preserve">
</t>
        </r>
      </text>
    </comment>
    <comment ref="AR129" authorId="0" shapeId="0" xr:uid="{6A32EE48-591B-4BB1-BD88-0F36F2B175CE}">
      <text>
        <r>
          <rPr>
            <b/>
            <sz val="12"/>
            <color indexed="81"/>
            <rFont val="Tahoma"/>
            <family val="2"/>
          </rPr>
          <t xml:space="preserve">Number of replacement ewes:
</t>
        </r>
        <r>
          <rPr>
            <sz val="12"/>
            <color indexed="81"/>
            <rFont val="Tahoma"/>
            <family val="2"/>
          </rPr>
          <t># of replacement ewes kept plus # replacement ewes bought</t>
        </r>
        <r>
          <rPr>
            <sz val="9"/>
            <color indexed="81"/>
            <rFont val="Tahoma"/>
            <family val="2"/>
          </rPr>
          <t xml:space="preserve">
</t>
        </r>
      </text>
    </comment>
    <comment ref="AS129" authorId="0" shapeId="0" xr:uid="{B5AE7121-7840-4887-A30E-AFB52E654FEB}">
      <text>
        <r>
          <rPr>
            <b/>
            <sz val="12"/>
            <color indexed="81"/>
            <rFont val="Tahoma"/>
            <family val="2"/>
          </rPr>
          <t xml:space="preserve">Number of replacement rams:
</t>
        </r>
        <r>
          <rPr>
            <sz val="12"/>
            <color indexed="81"/>
            <rFont val="Tahoma"/>
            <family val="2"/>
          </rPr>
          <t># replacement rams kept plus number of replacement rams bought</t>
        </r>
        <r>
          <rPr>
            <sz val="9"/>
            <color indexed="81"/>
            <rFont val="Tahoma"/>
            <family val="2"/>
          </rPr>
          <t xml:space="preserve">
</t>
        </r>
      </text>
    </comment>
    <comment ref="F167" authorId="0" shapeId="0" xr:uid="{5AB35A5D-6898-46FC-A2EA-9A733DF57769}">
      <text>
        <r>
          <rPr>
            <b/>
            <sz val="12"/>
            <color indexed="81"/>
            <rFont val="Tahoma"/>
            <family val="2"/>
          </rPr>
          <t xml:space="preserve">Number of mature ewes:
</t>
        </r>
        <r>
          <rPr>
            <sz val="12"/>
            <color indexed="81"/>
            <rFont val="Tahoma"/>
            <family val="2"/>
          </rPr>
          <t>Total number of ewes minus # culled and died</t>
        </r>
        <r>
          <rPr>
            <sz val="9"/>
            <color indexed="81"/>
            <rFont val="Tahoma"/>
            <family val="2"/>
          </rPr>
          <t xml:space="preserve">
</t>
        </r>
      </text>
    </comment>
    <comment ref="AL167" authorId="0" shapeId="0" xr:uid="{5A55A055-2955-4402-8588-39BB6A7A9516}">
      <text>
        <r>
          <rPr>
            <b/>
            <sz val="12"/>
            <color indexed="81"/>
            <rFont val="Tahoma"/>
            <family val="2"/>
          </rPr>
          <t xml:space="preserve">Number of mature ewes:
</t>
        </r>
        <r>
          <rPr>
            <sz val="12"/>
            <color indexed="81"/>
            <rFont val="Tahoma"/>
            <family val="2"/>
          </rPr>
          <t>Total number of ewes minus # culled and died</t>
        </r>
        <r>
          <rPr>
            <sz val="9"/>
            <color indexed="81"/>
            <rFont val="Tahoma"/>
            <family val="2"/>
          </rPr>
          <t xml:space="preserve">
</t>
        </r>
      </text>
    </comment>
    <comment ref="F168" authorId="0" shapeId="0" xr:uid="{E3F44145-2433-4E9A-8232-30DD449AA379}">
      <text>
        <r>
          <rPr>
            <b/>
            <sz val="12"/>
            <color indexed="81"/>
            <rFont val="Tahoma"/>
            <family val="2"/>
          </rPr>
          <t xml:space="preserve">Number of mature rams:
</t>
        </r>
        <r>
          <rPr>
            <sz val="12"/>
            <color indexed="81"/>
            <rFont val="Tahoma"/>
            <family val="2"/>
          </rPr>
          <t>Number of rams calculated at 2 rams per 100 ewes in the flock</t>
        </r>
        <r>
          <rPr>
            <sz val="9"/>
            <color indexed="81"/>
            <rFont val="Tahoma"/>
            <family val="2"/>
          </rPr>
          <t xml:space="preserve">
</t>
        </r>
      </text>
    </comment>
    <comment ref="AL168" authorId="0" shapeId="0" xr:uid="{BC26D361-89D1-4FE4-ADF2-033590B9E090}">
      <text>
        <r>
          <rPr>
            <b/>
            <sz val="12"/>
            <color indexed="81"/>
            <rFont val="Tahoma"/>
            <family val="2"/>
          </rPr>
          <t xml:space="preserve">Number of mature rams:
</t>
        </r>
        <r>
          <rPr>
            <sz val="12"/>
            <color indexed="81"/>
            <rFont val="Tahoma"/>
            <family val="2"/>
          </rPr>
          <t>Number of rams calculated at 2 rams per 100 ewes in the flock</t>
        </r>
        <r>
          <rPr>
            <sz val="9"/>
            <color indexed="81"/>
            <rFont val="Tahoma"/>
            <family val="2"/>
          </rPr>
          <t xml:space="preserve">
</t>
        </r>
      </text>
    </comment>
    <comment ref="F181" authorId="0" shapeId="0" xr:uid="{44E1C7D6-0D37-40ED-ACA1-646FE8E561A1}">
      <text>
        <r>
          <rPr>
            <b/>
            <sz val="12"/>
            <color indexed="81"/>
            <rFont val="Tahoma"/>
            <family val="2"/>
          </rPr>
          <t xml:space="preserve">Lambs:
</t>
        </r>
        <r>
          <rPr>
            <sz val="12"/>
            <color indexed="81"/>
            <rFont val="Tahoma"/>
            <family val="2"/>
          </rPr>
          <t>Number of ewes lambing x number lambs weaned per lambing</t>
        </r>
        <r>
          <rPr>
            <sz val="9"/>
            <color indexed="81"/>
            <rFont val="Tahoma"/>
            <family val="2"/>
          </rPr>
          <t xml:space="preserve">
</t>
        </r>
      </text>
    </comment>
    <comment ref="AL181" authorId="0" shapeId="0" xr:uid="{75D5F737-00C6-4A9D-8375-5FCEFE06355F}">
      <text>
        <r>
          <rPr>
            <b/>
            <sz val="12"/>
            <color indexed="81"/>
            <rFont val="Tahoma"/>
            <family val="2"/>
          </rPr>
          <t xml:space="preserve">Lambs:
</t>
        </r>
        <r>
          <rPr>
            <sz val="12"/>
            <color indexed="81"/>
            <rFont val="Tahoma"/>
            <family val="2"/>
          </rPr>
          <t>Number of ewes lambing x number lambs weaned per lambing</t>
        </r>
        <r>
          <rPr>
            <sz val="9"/>
            <color indexed="81"/>
            <rFont val="Tahoma"/>
            <family val="2"/>
          </rPr>
          <t xml:space="preserve">
</t>
        </r>
      </text>
    </comment>
    <comment ref="F191" authorId="0" shapeId="0" xr:uid="{D138C5AD-D984-416B-AA73-2C129CDB4CA6}">
      <text>
        <r>
          <rPr>
            <b/>
            <sz val="12"/>
            <color indexed="81"/>
            <rFont val="Tahoma"/>
            <family val="2"/>
          </rPr>
          <t xml:space="preserve">Replacements:
</t>
        </r>
        <r>
          <rPr>
            <sz val="12"/>
            <color indexed="81"/>
            <rFont val="Tahoma"/>
            <family val="2"/>
          </rPr>
          <t>Replacement animals kept plus replacement animals bought</t>
        </r>
        <r>
          <rPr>
            <sz val="9"/>
            <color indexed="81"/>
            <rFont val="Tahoma"/>
            <family val="2"/>
          </rPr>
          <t xml:space="preserve">
</t>
        </r>
      </text>
    </comment>
    <comment ref="AL191" authorId="0" shapeId="0" xr:uid="{31AA7ECB-0738-4113-8719-54597FA01638}">
      <text>
        <r>
          <rPr>
            <b/>
            <sz val="12"/>
            <color indexed="81"/>
            <rFont val="Tahoma"/>
            <family val="2"/>
          </rPr>
          <t xml:space="preserve">Replacements:
</t>
        </r>
        <r>
          <rPr>
            <sz val="12"/>
            <color indexed="81"/>
            <rFont val="Tahoma"/>
            <family val="2"/>
          </rPr>
          <t>Replacement animals kept plus replacement animals bought</t>
        </r>
        <r>
          <rPr>
            <sz val="9"/>
            <color indexed="81"/>
            <rFont val="Tahoma"/>
            <family val="2"/>
          </rPr>
          <t xml:space="preserve">
</t>
        </r>
      </text>
    </comment>
    <comment ref="F199" authorId="0" shapeId="0" xr:uid="{B89934E1-4D1D-4962-AA00-E63A37D84A7F}">
      <text>
        <r>
          <rPr>
            <b/>
            <sz val="12"/>
            <color indexed="81"/>
            <rFont val="Tahoma"/>
            <family val="2"/>
          </rPr>
          <t xml:space="preserve">Lambs
</t>
        </r>
        <r>
          <rPr>
            <sz val="12"/>
            <color indexed="81"/>
            <rFont val="Tahoma"/>
            <family val="2"/>
          </rPr>
          <t>Lambs marketed from feedlot plus lambs sold as replacements ewes and rams.</t>
        </r>
        <r>
          <rPr>
            <sz val="9"/>
            <color indexed="81"/>
            <rFont val="Tahoma"/>
            <family val="2"/>
          </rPr>
          <t xml:space="preserve">
</t>
        </r>
      </text>
    </comment>
    <comment ref="AL199" authorId="0" shapeId="0" xr:uid="{7DCF0CC0-F275-4AD8-A463-E2FC33879A0F}">
      <text>
        <r>
          <rPr>
            <b/>
            <sz val="12"/>
            <color indexed="81"/>
            <rFont val="Tahoma"/>
            <family val="2"/>
          </rPr>
          <t xml:space="preserve">Lambs
</t>
        </r>
        <r>
          <rPr>
            <sz val="12"/>
            <color indexed="81"/>
            <rFont val="Tahoma"/>
            <family val="2"/>
          </rPr>
          <t>Lambs marketed from feedlot plus lambs sold as replacements ewes and rams.</t>
        </r>
        <r>
          <rPr>
            <sz val="9"/>
            <color indexed="81"/>
            <rFont val="Tahoma"/>
            <family val="2"/>
          </rPr>
          <t xml:space="preserve">
</t>
        </r>
      </text>
    </comment>
  </commentList>
</comments>
</file>

<file path=xl/sharedStrings.xml><?xml version="1.0" encoding="utf-8"?>
<sst xmlns="http://schemas.openxmlformats.org/spreadsheetml/2006/main" count="596" uniqueCount="248">
  <si>
    <t>This is a cost of production budgeting tool that has 2 worksheets. There are fields that can be completed by the user. It is up to 21 columns wide and 252 rows.</t>
  </si>
  <si>
    <t>Ewe Flock Cost of Production Calculator</t>
  </si>
  <si>
    <t>This calculator is designed to assist producers in determining their cost of production for their ewe flock. It provides an assessment of feed costs, the cost and return to produce a lb of lamb, the profit (loss) per lb of lamb produced, per ewe and on a flock basis.</t>
  </si>
  <si>
    <t xml:space="preserve">Producers need to input their ewe information, days on stored feed and pasture and ewe costs which include health and vet, breeding, yardage, feed costs and amount fed.  </t>
  </si>
  <si>
    <t>The lamb information section allows you to project your returns on your lamb crop. You fill in the number marketed and retained, their average weight and your sale price or average value.  This combined with your ewe costs predicts your net return.</t>
  </si>
  <si>
    <t>The calculator can evaluate past performance, as well as projecting ahead.  It allows you to look at “What if” scenarios, whether they are feed costs or value of lambs.  Just overwrite the green numbers on the sample cost of production calculator.</t>
  </si>
  <si>
    <t xml:space="preserve">Remember the information provided by the calculator is only as accurate as the information you enter. </t>
  </si>
  <si>
    <t xml:space="preserve">This calculator has been adapted from the Beef Feedlot COP Calculator. </t>
  </si>
  <si>
    <t>Revised by:</t>
  </si>
  <si>
    <t>Delma Kennedy, Sheep Specialist</t>
  </si>
  <si>
    <t>John Molenhuis, Business Analysis and Cost of Production Specialist</t>
  </si>
  <si>
    <t>For more information contact:</t>
  </si>
  <si>
    <t>Agricultural Information Contact Centre</t>
  </si>
  <si>
    <t>1-877-424-1300</t>
  </si>
  <si>
    <t>ag.info@omaf.gov.on.ca</t>
  </si>
  <si>
    <t>www.omafra.gov.on.ca</t>
  </si>
  <si>
    <t>End of worksheet</t>
  </si>
  <si>
    <t xml:space="preserve">  $ Annual Ewe Flock Cost of Production Calculator $</t>
  </si>
  <si>
    <t>Risk Analysis</t>
  </si>
  <si>
    <t>Expected returns are subject to the risk of fluctuations in both revenue and expenses.</t>
  </si>
  <si>
    <t>RISK RESULTS</t>
  </si>
  <si>
    <t>pasture weight percent</t>
  </si>
  <si>
    <r>
      <t>GREEN</t>
    </r>
    <r>
      <rPr>
        <b/>
        <sz val="12"/>
        <rFont val="Arial"/>
        <family val="2"/>
      </rPr>
      <t xml:space="preserve"> cells are those you</t>
    </r>
    <r>
      <rPr>
        <b/>
        <sz val="12"/>
        <color indexed="17"/>
        <rFont val="Arial"/>
        <family val="2"/>
      </rPr>
      <t xml:space="preserve"> </t>
    </r>
    <r>
      <rPr>
        <b/>
        <sz val="12"/>
        <rFont val="Arial"/>
        <family val="2"/>
      </rPr>
      <t>can change</t>
    </r>
  </si>
  <si>
    <t>Year</t>
  </si>
  <si>
    <t xml:space="preserve">Increases in sale prices received, decreases in your cost of production, increases in your lambs weaned and decreases in your lamb death loss will have </t>
  </si>
  <si>
    <t>feedlot weight percent</t>
  </si>
  <si>
    <t>Flock Description</t>
  </si>
  <si>
    <t>Date</t>
  </si>
  <si>
    <t xml:space="preserve">positive impacts on your net return.  Conversely, sale price decreases, increases to your cost of production, decreases in lambs weaned and increases in death </t>
  </si>
  <si>
    <t>Ewes in Flock</t>
  </si>
  <si>
    <t>Rams/ 100 ewes</t>
  </si>
  <si>
    <t>loss will have negative impacts on your net return.  The expected values that you inputted for the key ewe flock risk variables are displayed below on the left.</t>
  </si>
  <si>
    <t>total pounds sold</t>
  </si>
  <si>
    <t>Ewe Cull Rate</t>
  </si>
  <si>
    <t>Ram Cull Rate</t>
  </si>
  <si>
    <t>Change the key risk variables identified for the ewe flock enterprise in the boxes provided to the right to see how they will affect your net return.</t>
  </si>
  <si>
    <t>average weighted lamb price</t>
  </si>
  <si>
    <t>Ewe Death Loss</t>
  </si>
  <si>
    <t>Ram Death Loss</t>
  </si>
  <si>
    <t>Enter negative values if you would like to decrease the value of the variable and positive values to increase the value.</t>
  </si>
  <si>
    <t>average lamb sale weight</t>
  </si>
  <si>
    <t>Replacement Ewes Needed</t>
  </si>
  <si>
    <t>Replacement Rams Kept</t>
  </si>
  <si>
    <t>Enter zero for any variable you would like to remain at the same level as specified in the Expected section.</t>
  </si>
  <si>
    <t>lamb sales expected</t>
  </si>
  <si>
    <t>Replacement Ewes Kept</t>
  </si>
  <si>
    <t>Conception Rate</t>
  </si>
  <si>
    <t xml:space="preserve"> # Ewes Lambing</t>
  </si>
  <si>
    <t>Expected values (from calculator):</t>
  </si>
  <si>
    <t>Change Key Ewe Flock Variables:</t>
  </si>
  <si>
    <t xml:space="preserve"> + / - %</t>
  </si>
  <si>
    <t>Results of the change:</t>
  </si>
  <si>
    <t>Days on Stored Feed</t>
  </si>
  <si>
    <t>Days on Pasture</t>
  </si>
  <si>
    <t>Expected Pasture Lamb Sale price ($/lb)</t>
  </si>
  <si>
    <t>Percent Change in Sale price</t>
  </si>
  <si>
    <t>New pasture lamb sale price:</t>
  </si>
  <si>
    <t>new sale</t>
  </si>
  <si>
    <t>Lambs weaned / lambing</t>
  </si>
  <si>
    <t>Expected Feedlot Lamb Sale price($/lb)</t>
  </si>
  <si>
    <t>New feedlot lamb price:</t>
  </si>
  <si>
    <t>new sale (2020 update)</t>
  </si>
  <si>
    <t>Post weaning lamb loss</t>
  </si>
  <si>
    <t>Expected Lambs Weaned per Ewe</t>
  </si>
  <si>
    <t>Percent change in Lambs Weaned</t>
  </si>
  <si>
    <t>New Lambs Weaned:</t>
  </si>
  <si>
    <t>new cost of gain</t>
  </si>
  <si>
    <t>Expected Lamb Death Loss (after weaning)</t>
  </si>
  <si>
    <t>Percent change in Lamb Death Loss (after weaning)</t>
  </si>
  <si>
    <t>New Lamb Death Loss:</t>
  </si>
  <si>
    <t>Market Lamb Description</t>
  </si>
  <si>
    <t>Net Return Per Ewe</t>
  </si>
  <si>
    <t>% of lambs shorn</t>
  </si>
  <si>
    <t>Total lambs marketed</t>
  </si>
  <si>
    <t>Average finishing weight pasture</t>
  </si>
  <si>
    <t>lbs</t>
  </si>
  <si>
    <t>% lambs finish on pasture</t>
  </si>
  <si>
    <t>Average finishing weight feedlot</t>
  </si>
  <si>
    <t>days lambs on pasture after weaning</t>
  </si>
  <si>
    <t>Feed Conversion: 1 lb gain per</t>
  </si>
  <si>
    <t>lbs feed</t>
  </si>
  <si>
    <t>Average weight entering Feedlot</t>
  </si>
  <si>
    <t>Net return per Ewe before changes to Key Ewe Flock Risk Variables</t>
  </si>
  <si>
    <t>net after changes</t>
  </si>
  <si>
    <t>net after changes (2020 update)</t>
  </si>
  <si>
    <t>ITEM</t>
  </si>
  <si>
    <t>WEIGHT</t>
  </si>
  <si>
    <t>UNIT</t>
  </si>
  <si>
    <t>PRICE /UNIT</t>
  </si>
  <si>
    <t>QUANTITY</t>
  </si>
  <si>
    <t>TOTAL</t>
  </si>
  <si>
    <t>CASH INCOME</t>
  </si>
  <si>
    <t xml:space="preserve">Net Return after changes in Key Ewe Flock Risk Variables </t>
  </si>
  <si>
    <t>Replacement Ram Lambs</t>
  </si>
  <si>
    <t>each</t>
  </si>
  <si>
    <t>Replacement Ewe Lambs</t>
  </si>
  <si>
    <t>Market pasture lambs</t>
  </si>
  <si>
    <t>Breeding Stock</t>
  </si>
  <si>
    <t>Market feedlot lambs</t>
  </si>
  <si>
    <t>Replacement Lambs</t>
  </si>
  <si>
    <t>Cull Ewes</t>
  </si>
  <si>
    <t>Cull Rams</t>
  </si>
  <si>
    <t>Wool- ewes</t>
  </si>
  <si>
    <t>lbs / head</t>
  </si>
  <si>
    <t>Market Lambs 1</t>
  </si>
  <si>
    <t>Wool- lambs</t>
  </si>
  <si>
    <t>TOTAL CASH  INCOME</t>
  </si>
  <si>
    <t>VARIABLE COSTS</t>
  </si>
  <si>
    <t>Ewe replacement purchases</t>
  </si>
  <si>
    <t>Total income</t>
  </si>
  <si>
    <t>Ram replacement purchases</t>
  </si>
  <si>
    <t>Feed</t>
  </si>
  <si>
    <t>Lambs (after weaning)</t>
  </si>
  <si>
    <t>FEED WASTE</t>
  </si>
  <si>
    <t>TONNES USED</t>
  </si>
  <si>
    <t>Tonne</t>
  </si>
  <si>
    <t>Mixed Hay</t>
  </si>
  <si>
    <t>Alfalfa Hay</t>
  </si>
  <si>
    <t>Corn silage</t>
  </si>
  <si>
    <t xml:space="preserve">Corn  </t>
  </si>
  <si>
    <t>Barley</t>
  </si>
  <si>
    <t>Protein Suppl. Pellet</t>
  </si>
  <si>
    <t>Soybean meal</t>
  </si>
  <si>
    <t>Salt</t>
  </si>
  <si>
    <t>Mineral</t>
  </si>
  <si>
    <t xml:space="preserve">Pasture </t>
  </si>
  <si>
    <t>Ewes &amp; Rams &amp; Replacements)</t>
  </si>
  <si>
    <t>Lamb pasture counted for lambs up until sold, put in feedlot or decision to retain</t>
  </si>
  <si>
    <t>Forages</t>
  </si>
  <si>
    <t>Corn</t>
  </si>
  <si>
    <t>Corn Silage</t>
  </si>
  <si>
    <t>Haylage</t>
  </si>
  <si>
    <t>Soybean Meal</t>
  </si>
  <si>
    <t>Grains</t>
  </si>
  <si>
    <t>Pellet Protein Suppl</t>
  </si>
  <si>
    <t>Supplements</t>
  </si>
  <si>
    <t>Corn Distillers</t>
  </si>
  <si>
    <t xml:space="preserve">Salt </t>
  </si>
  <si>
    <t>Lamb Creep</t>
  </si>
  <si>
    <t>Milk Replacer Powder</t>
  </si>
  <si>
    <t xml:space="preserve"> lbs /lamb</t>
  </si>
  <si>
    <t>/20 kg</t>
  </si>
  <si>
    <t xml:space="preserve"> bags</t>
  </si>
  <si>
    <t xml:space="preserve"># of days </t>
  </si>
  <si>
    <t>Bedding - straw - lambs</t>
  </si>
  <si>
    <t xml:space="preserve"> lbs per head per day</t>
  </si>
  <si>
    <t>Bedding - straw - ewes</t>
  </si>
  <si>
    <t>Ewe/ram pasture counted for ewes, rams and replacements once decision to keep - think of cycle Oct 15-Oct14.</t>
  </si>
  <si>
    <t>Total Feed Costs</t>
  </si>
  <si>
    <t>Other Variable Costs</t>
  </si>
  <si>
    <t>Health Program</t>
  </si>
  <si>
    <t xml:space="preserve"> / ewe</t>
  </si>
  <si>
    <r>
      <t xml:space="preserve">National ID Tags </t>
    </r>
    <r>
      <rPr>
        <vertAlign val="superscript"/>
        <sz val="12"/>
        <rFont val="Arial"/>
        <family val="2"/>
      </rPr>
      <t>2</t>
    </r>
  </si>
  <si>
    <t xml:space="preserve"> / head</t>
  </si>
  <si>
    <t>Marketing</t>
  </si>
  <si>
    <t>Transportation</t>
  </si>
  <si>
    <t xml:space="preserve">OSF Checkoff </t>
  </si>
  <si>
    <t>OSMA Checkoff</t>
  </si>
  <si>
    <t>Shearing - ewes</t>
  </si>
  <si>
    <t>Shearing - lambs</t>
  </si>
  <si>
    <t>Guardian dogs</t>
  </si>
  <si>
    <t xml:space="preserve"> / dog</t>
  </si>
  <si>
    <t># of dogs</t>
  </si>
  <si>
    <t>Building &amp; Fence Repair</t>
  </si>
  <si>
    <t>Machinery Repair &amp; Maint.</t>
  </si>
  <si>
    <t>Utilities</t>
  </si>
  <si>
    <t>Miscellaneous</t>
  </si>
  <si>
    <r>
      <t xml:space="preserve">Int. on Operating Expenses </t>
    </r>
    <r>
      <rPr>
        <vertAlign val="superscript"/>
        <sz val="12"/>
        <rFont val="Arial"/>
        <family val="2"/>
      </rPr>
      <t>3</t>
    </r>
    <r>
      <rPr>
        <sz val="12"/>
        <rFont val="Arial"/>
        <family val="2"/>
      </rPr>
      <t xml:space="preserve"> </t>
    </r>
  </si>
  <si>
    <t>%</t>
  </si>
  <si>
    <t>Term of Loan (months)</t>
  </si>
  <si>
    <t>TOTAL VARIABLE COSTS</t>
  </si>
  <si>
    <t>Total exp</t>
  </si>
  <si>
    <t xml:space="preserve">RETURN TO EQUITY, MANAGEMENT &amp; OPERATOR LABOUR </t>
  </si>
  <si>
    <t>Net income</t>
  </si>
  <si>
    <t>Net Return per Ewe with Lamb Price @</t>
  </si>
  <si>
    <t>per lb</t>
  </si>
  <si>
    <t>Return over Variable Costs</t>
  </si>
  <si>
    <t>Lamb Price @</t>
  </si>
  <si>
    <t xml:space="preserve"> / lb</t>
  </si>
  <si>
    <t># of days lambs in feedlot</t>
  </si>
  <si>
    <r>
      <t>1</t>
    </r>
    <r>
      <rPr>
        <sz val="12"/>
        <rFont val="Arial"/>
        <family val="2"/>
      </rPr>
      <t xml:space="preserve"> Market weights (lambs, ewes, rams) adjusted for 6% shrink</t>
    </r>
  </si>
  <si>
    <r>
      <t>2</t>
    </r>
    <r>
      <rPr>
        <sz val="12"/>
        <rFont val="Arial"/>
        <family val="2"/>
      </rPr>
      <t xml:space="preserve"> Assumed tags applied when animals leave farm of origin</t>
    </r>
  </si>
  <si>
    <r>
      <t>3</t>
    </r>
    <r>
      <rPr>
        <sz val="12"/>
        <rFont val="Arial"/>
        <family val="2"/>
      </rPr>
      <t xml:space="preserve"> Includes 1/2 feed cost plus other variable cost less marketing(+ transportation &amp; checkoff) costs</t>
    </r>
  </si>
  <si>
    <t>EWES</t>
  </si>
  <si>
    <t>RAMS</t>
  </si>
  <si>
    <t xml:space="preserve">FEED USAGE CALCULATIONS </t>
  </si>
  <si>
    <t>NUMBER OF HEAD</t>
  </si>
  <si>
    <t xml:space="preserve">  EWES</t>
  </si>
  <si>
    <t xml:space="preserve">TOTAL </t>
  </si>
  <si>
    <t>E.GEST</t>
  </si>
  <si>
    <t xml:space="preserve">  L.GEST</t>
  </si>
  <si>
    <t>LACT</t>
  </si>
  <si>
    <t>MAINT.</t>
  </si>
  <si>
    <t>FLUSH</t>
  </si>
  <si>
    <t>BREEDING</t>
  </si>
  <si>
    <t>WINTER</t>
  </si>
  <si>
    <t>GRAZING</t>
  </si>
  <si>
    <t xml:space="preserve"> POUNDS </t>
  </si>
  <si>
    <t>POUNDS</t>
  </si>
  <si>
    <t>No. days on Stored Feed</t>
  </si>
  <si>
    <t>/EWE</t>
  </si>
  <si>
    <t xml:space="preserve"> /RAM</t>
  </si>
  <si>
    <r>
      <t>Ewes (</t>
    </r>
    <r>
      <rPr>
        <i/>
        <sz val="12"/>
        <rFont val="Arial"/>
        <family val="2"/>
      </rPr>
      <t>enter your feeds of choice)</t>
    </r>
  </si>
  <si>
    <t>lbs / day</t>
  </si>
  <si>
    <t>Pellet Protein Supplement</t>
  </si>
  <si>
    <t>Pasture</t>
  </si>
  <si>
    <t>Replacement Ewes(110 lbs)</t>
  </si>
  <si>
    <t>REPLACEMENT
 RAMS WINTER</t>
  </si>
  <si>
    <t>REPLACEMENT
 RAMS GRAZING</t>
  </si>
  <si>
    <t>TOTAL POUNDS /EWE</t>
  </si>
  <si>
    <t>TOTAL POUNDS/RAM</t>
  </si>
  <si>
    <t>Number days on Stored Feed</t>
  </si>
  <si>
    <r>
      <t>(</t>
    </r>
    <r>
      <rPr>
        <i/>
        <sz val="12"/>
        <rFont val="Arial"/>
        <family val="2"/>
      </rPr>
      <t>feeds MUST be in SAME sequence as Ewes for formulas to work properly)</t>
    </r>
    <r>
      <rPr>
        <sz val="12"/>
        <rFont val="Arial"/>
        <family val="2"/>
      </rPr>
      <t xml:space="preserve">   </t>
    </r>
    <r>
      <rPr>
        <b/>
        <sz val="12"/>
        <rFont val="Arial"/>
        <family val="2"/>
      </rPr>
      <t>lbs/day</t>
    </r>
  </si>
  <si>
    <t>Lamb Finishing Ration - as fed basis</t>
  </si>
  <si>
    <t>Enter Percentages as Decimal Equivalents</t>
  </si>
  <si>
    <t xml:space="preserve"> (EXAMPLE 10% = 0.10)</t>
  </si>
  <si>
    <t>Protein Supplement Pellet</t>
  </si>
  <si>
    <t>Other</t>
  </si>
  <si>
    <t>CALCULATE HEALTH PROGRAM COSTS</t>
  </si>
  <si>
    <t>Ewes</t>
  </si>
  <si>
    <t>Rams</t>
  </si>
  <si>
    <t>Ewes &amp; Rams</t>
  </si>
  <si>
    <t>Treat-
ments</t>
  </si>
  <si>
    <t>Amount
(ml/head)</t>
  </si>
  <si>
    <t>Price/ml</t>
  </si>
  <si>
    <t>Per head</t>
  </si>
  <si>
    <t>Dewormer (name product) - ewes</t>
  </si>
  <si>
    <t>Dewormer (name product) - rams</t>
  </si>
  <si>
    <t>% dewormed</t>
  </si>
  <si>
    <t>Clostridial Vaccine -ewes</t>
  </si>
  <si>
    <t>Clostridial Vaccine - rams</t>
  </si>
  <si>
    <t>Other (ewes)</t>
  </si>
  <si>
    <t>Other (rams)</t>
  </si>
  <si>
    <t>Health Program Cost for Ewes &amp; Rams</t>
  </si>
  <si>
    <t>Lambs</t>
  </si>
  <si>
    <t>Selenium injection</t>
  </si>
  <si>
    <t>Dewormer</t>
  </si>
  <si>
    <t>Clostridial Vaccine (4ml)</t>
  </si>
  <si>
    <t>Health Program Cost for Lambs</t>
  </si>
  <si>
    <t>Replacement Ewe and Ram Lambs</t>
  </si>
  <si>
    <t>Vaccine (booster 2ml)</t>
  </si>
  <si>
    <t>Health Program Cost for Replacement Lambs (ewes &amp; rams)</t>
  </si>
  <si>
    <t>Market Lambs entering Feedlot</t>
  </si>
  <si>
    <t>Health Program Cost for Market Lambs Entering Feedlot</t>
  </si>
  <si>
    <t># of visits</t>
  </si>
  <si>
    <t>$/visit</t>
  </si>
  <si>
    <t>Farm veterinarian visits</t>
  </si>
  <si>
    <t>Flock Health Program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</si>
</sst>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quot;$&quot;#,##0_);\(&quot;$&quot;#,##0\)"/>
    <numFmt numFmtId="165" formatCode="&quot;$&quot;#,##0.00_);\(&quot;$&quot;#,##0.0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quot;$&quot;#,##0.00"/>
    <numFmt numFmtId="172" formatCode="0.0"/>
    <numFmt numFmtId="173" formatCode="0.0%"/>
    <numFmt numFmtId="174" formatCode="0_)"/>
    <numFmt numFmtId="175" formatCode="0.0_)"/>
    <numFmt numFmtId="176" formatCode="0.000"/>
    <numFmt numFmtId="177" formatCode="&quot;$&quot;#,##0.00;[Red]&quot;$&quot;#,##0.00"/>
    <numFmt numFmtId="178" formatCode="_(&quot;$&quot;* #,##0.00_);_(&quot;$&quot;* \(#,##0.00\);_(&quot;$&quot;* &quot;-&quot;_);_(@_)"/>
    <numFmt numFmtId="179" formatCode="_(* #,##0.00_);_(* \(#,##0.00\);_(* &quot;-&quot;?_);_(@_)"/>
    <numFmt numFmtId="180" formatCode="&quot;$&quot;#,##0.000;[Red]\-&quot;$&quot;#,##0.000"/>
    <numFmt numFmtId="181" formatCode="0.000_)"/>
    <numFmt numFmtId="182" formatCode="0.0000_)"/>
    <numFmt numFmtId="183" formatCode="_(* #,##0.0_);_(* \(#,##0.0\);_(* &quot;-&quot;_);_(@_)"/>
    <numFmt numFmtId="184" formatCode="_(* #,##0.000_);_(* \(#,##0.000\);_(* &quot;-&quot;?_);_(@_)"/>
    <numFmt numFmtId="185" formatCode="_-&quot;$&quot;* #,##0_-;\-&quot;$&quot;* #,##0_-;_-&quot;$&quot;* &quot;-&quot;??_-;_-@_-"/>
    <numFmt numFmtId="186" formatCode="_-* #,##0_-;\-* #,##0_-;_-* &quot;-&quot;??_-;_-@_-"/>
  </numFmts>
  <fonts count="23" x14ac:knownFonts="1">
    <font>
      <sz val="10"/>
      <name val="Arial"/>
    </font>
    <font>
      <sz val="10"/>
      <name val="Arial"/>
      <family val="2"/>
    </font>
    <font>
      <b/>
      <sz val="16"/>
      <name val="Arial"/>
      <family val="2"/>
    </font>
    <font>
      <sz val="10"/>
      <name val="Arial"/>
      <family val="2"/>
    </font>
    <font>
      <b/>
      <sz val="12"/>
      <name val="Arial"/>
      <family val="2"/>
    </font>
    <font>
      <b/>
      <sz val="12"/>
      <color indexed="17"/>
      <name val="Arial"/>
      <family val="2"/>
    </font>
    <font>
      <b/>
      <sz val="12"/>
      <color theme="1"/>
      <name val="Arial"/>
      <family val="2"/>
    </font>
    <font>
      <b/>
      <sz val="12"/>
      <color rgb="FF008000"/>
      <name val="Arial"/>
      <family val="2"/>
    </font>
    <font>
      <sz val="12"/>
      <name val="Arial"/>
      <family val="2"/>
    </font>
    <font>
      <i/>
      <sz val="12"/>
      <name val="Arial"/>
      <family val="2"/>
    </font>
    <font>
      <u/>
      <sz val="12"/>
      <name val="Arial"/>
      <family val="2"/>
    </font>
    <font>
      <vertAlign val="superscript"/>
      <sz val="12"/>
      <name val="Arial"/>
      <family val="2"/>
    </font>
    <font>
      <b/>
      <sz val="12"/>
      <color rgb="FFFF0000"/>
      <name val="Arial"/>
      <family val="2"/>
    </font>
    <font>
      <b/>
      <i/>
      <sz val="12"/>
      <name val="Arial"/>
      <family val="2"/>
    </font>
    <font>
      <sz val="12"/>
      <color indexed="17"/>
      <name val="Arial"/>
      <family val="2"/>
    </font>
    <font>
      <sz val="12"/>
      <color theme="1"/>
      <name val="Arial"/>
      <family val="2"/>
    </font>
    <font>
      <sz val="12"/>
      <color rgb="FFFF0000"/>
      <name val="Arial"/>
      <family val="2"/>
    </font>
    <font>
      <sz val="12"/>
      <color indexed="12"/>
      <name val="Arial"/>
      <family val="2"/>
    </font>
    <font>
      <b/>
      <sz val="12"/>
      <color indexed="81"/>
      <name val="Tahoma"/>
      <family val="2"/>
    </font>
    <font>
      <sz val="12"/>
      <color indexed="81"/>
      <name val="Tahoma"/>
      <family val="2"/>
    </font>
    <font>
      <sz val="9"/>
      <color indexed="81"/>
      <name val="Tahoma"/>
      <family val="2"/>
    </font>
    <font>
      <sz val="10"/>
      <name val="Courier"/>
      <family val="3"/>
    </font>
    <font>
      <sz val="9"/>
      <name val="Arial"/>
      <family val="2"/>
    </font>
  </fonts>
  <fills count="7">
    <fill>
      <patternFill patternType="none"/>
    </fill>
    <fill>
      <patternFill patternType="gray125"/>
    </fill>
    <fill>
      <patternFill patternType="solid">
        <fgColor indexed="43"/>
        <bgColor indexed="64"/>
      </patternFill>
    </fill>
    <fill>
      <patternFill patternType="solid">
        <fgColor indexed="11"/>
        <bgColor indexed="64"/>
      </patternFill>
    </fill>
    <fill>
      <patternFill patternType="solid">
        <fgColor indexed="42"/>
        <bgColor indexed="64"/>
      </patternFill>
    </fill>
    <fill>
      <patternFill patternType="solid">
        <fgColor theme="6" tint="0.39997558519241921"/>
        <bgColor indexed="64"/>
      </patternFill>
    </fill>
    <fill>
      <patternFill patternType="solid">
        <fgColor rgb="FFFFFF99"/>
        <bgColor indexed="64"/>
      </patternFill>
    </fill>
  </fills>
  <borders count="2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17"/>
      </left>
      <right style="medium">
        <color indexed="17"/>
      </right>
      <top style="medium">
        <color indexed="17"/>
      </top>
      <bottom style="medium">
        <color indexed="17"/>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3" fillId="0" borderId="0"/>
    <xf numFmtId="0" fontId="21" fillId="0" borderId="0"/>
  </cellStyleXfs>
  <cellXfs count="320">
    <xf numFmtId="0" fontId="0" fillId="0" borderId="0" xfId="0"/>
    <xf numFmtId="0" fontId="0" fillId="0" borderId="0" xfId="0" applyAlignment="1">
      <alignment vertical="top"/>
    </xf>
    <xf numFmtId="0" fontId="2" fillId="3" borderId="0" xfId="2" applyFont="1" applyFill="1"/>
    <xf numFmtId="0" fontId="4" fillId="2" borderId="0" xfId="2" applyFont="1" applyFill="1" applyAlignment="1">
      <alignment horizontal="center"/>
    </xf>
    <xf numFmtId="9" fontId="5" fillId="0" borderId="5" xfId="2" applyNumberFormat="1" applyFont="1" applyBorder="1" applyAlignment="1" applyProtection="1">
      <alignment horizontal="center"/>
      <protection locked="0"/>
    </xf>
    <xf numFmtId="169" fontId="4" fillId="0" borderId="3" xfId="2" applyNumberFormat="1" applyFont="1" applyBorder="1"/>
    <xf numFmtId="39" fontId="4" fillId="0" borderId="3" xfId="2" applyNumberFormat="1" applyFont="1" applyBorder="1"/>
    <xf numFmtId="173" fontId="4" fillId="0" borderId="3" xfId="2" applyNumberFormat="1" applyFont="1" applyBorder="1"/>
    <xf numFmtId="169" fontId="4" fillId="2" borderId="6" xfId="2" applyNumberFormat="1" applyFont="1" applyFill="1" applyBorder="1" applyAlignment="1">
      <alignment horizontal="center"/>
    </xf>
    <xf numFmtId="167" fontId="4" fillId="2" borderId="0" xfId="2" applyNumberFormat="1" applyFont="1" applyFill="1" applyAlignment="1">
      <alignment horizontal="center"/>
    </xf>
    <xf numFmtId="169" fontId="4" fillId="2" borderId="7" xfId="2" applyNumberFormat="1" applyFont="1" applyFill="1" applyBorder="1" applyAlignment="1">
      <alignment horizontal="center"/>
    </xf>
    <xf numFmtId="0" fontId="8" fillId="3" borderId="0" xfId="2" applyFont="1" applyFill="1"/>
    <xf numFmtId="0" fontId="8" fillId="3" borderId="0" xfId="0" applyFont="1" applyFill="1"/>
    <xf numFmtId="0" fontId="8" fillId="0" borderId="0" xfId="0" applyFont="1"/>
    <xf numFmtId="0" fontId="8" fillId="2" borderId="0" xfId="2" applyFont="1" applyFill="1"/>
    <xf numFmtId="0" fontId="8" fillId="2" borderId="0" xfId="0" applyFont="1" applyFill="1"/>
    <xf numFmtId="0" fontId="4" fillId="2" borderId="0" xfId="0" applyFont="1" applyFill="1" applyAlignment="1">
      <alignment horizontal="right"/>
    </xf>
    <xf numFmtId="0" fontId="5" fillId="2" borderId="3" xfId="0" applyFont="1" applyFill="1" applyBorder="1" applyAlignment="1" applyProtection="1">
      <alignment horizontal="center"/>
      <protection locked="0"/>
    </xf>
    <xf numFmtId="0" fontId="4" fillId="2" borderId="0" xfId="0" applyFont="1" applyFill="1"/>
    <xf numFmtId="0" fontId="8" fillId="2" borderId="4" xfId="0" applyFont="1" applyFill="1" applyBorder="1"/>
    <xf numFmtId="15" fontId="4" fillId="2" borderId="0" xfId="0" applyNumberFormat="1" applyFont="1" applyFill="1" applyAlignment="1">
      <alignment horizontal="center"/>
    </xf>
    <xf numFmtId="0" fontId="8" fillId="2" borderId="0" xfId="0" applyFont="1" applyFill="1" applyAlignment="1">
      <alignment horizontal="right"/>
    </xf>
    <xf numFmtId="0" fontId="5" fillId="2" borderId="3" xfId="0" applyFont="1" applyFill="1" applyBorder="1" applyProtection="1">
      <protection locked="0"/>
    </xf>
    <xf numFmtId="43" fontId="8" fillId="0" borderId="0" xfId="0" applyNumberFormat="1" applyFont="1"/>
    <xf numFmtId="9" fontId="5" fillId="2" borderId="0" xfId="3" applyFont="1" applyFill="1" applyBorder="1"/>
    <xf numFmtId="9" fontId="5" fillId="2" borderId="3" xfId="3" applyFont="1" applyFill="1" applyBorder="1" applyProtection="1">
      <protection locked="0"/>
    </xf>
    <xf numFmtId="0" fontId="5" fillId="2" borderId="0" xfId="0" applyFont="1" applyFill="1"/>
    <xf numFmtId="2" fontId="4" fillId="2" borderId="0" xfId="0" applyNumberFormat="1" applyFont="1" applyFill="1"/>
    <xf numFmtId="186" fontId="8" fillId="0" borderId="0" xfId="0" applyNumberFormat="1" applyFont="1"/>
    <xf numFmtId="173" fontId="5" fillId="2" borderId="3" xfId="3" applyNumberFormat="1" applyFont="1" applyFill="1" applyBorder="1" applyProtection="1">
      <protection locked="0"/>
    </xf>
    <xf numFmtId="0" fontId="4" fillId="2" borderId="0" xfId="2" applyFont="1" applyFill="1"/>
    <xf numFmtId="0" fontId="4" fillId="2" borderId="0" xfId="2" applyFont="1" applyFill="1" applyAlignment="1">
      <alignment horizontal="right"/>
    </xf>
    <xf numFmtId="0" fontId="8" fillId="2" borderId="0" xfId="0" applyFont="1" applyFill="1" applyAlignment="1">
      <alignment horizontal="center"/>
    </xf>
    <xf numFmtId="0" fontId="8" fillId="2" borderId="0" xfId="2" applyFont="1" applyFill="1" applyAlignment="1">
      <alignment horizontal="right"/>
    </xf>
    <xf numFmtId="186" fontId="4" fillId="2" borderId="0" xfId="0" applyNumberFormat="1" applyFont="1" applyFill="1" applyAlignment="1">
      <alignment horizontal="center"/>
    </xf>
    <xf numFmtId="1" fontId="4" fillId="2" borderId="0" xfId="3" applyNumberFormat="1" applyFont="1" applyFill="1" applyBorder="1"/>
    <xf numFmtId="169" fontId="8" fillId="0" borderId="0" xfId="0" applyNumberFormat="1" applyFont="1"/>
    <xf numFmtId="0" fontId="4" fillId="0" borderId="0" xfId="0" applyFont="1"/>
    <xf numFmtId="0" fontId="8" fillId="2" borderId="0" xfId="2" applyFont="1" applyFill="1" applyAlignment="1">
      <alignment wrapText="1"/>
    </xf>
    <xf numFmtId="0" fontId="8" fillId="2" borderId="0" xfId="2" applyFont="1" applyFill="1" applyAlignment="1">
      <alignment horizontal="right" wrapText="1"/>
    </xf>
    <xf numFmtId="1" fontId="4" fillId="2" borderId="0" xfId="0" applyNumberFormat="1" applyFont="1" applyFill="1"/>
    <xf numFmtId="43" fontId="8" fillId="2" borderId="0" xfId="0" applyNumberFormat="1" applyFont="1" applyFill="1"/>
    <xf numFmtId="0" fontId="4" fillId="2" borderId="0" xfId="2" applyFont="1" applyFill="1" applyAlignment="1">
      <alignment horizontal="center" wrapText="1"/>
    </xf>
    <xf numFmtId="0" fontId="8" fillId="2" borderId="0" xfId="0" applyFont="1" applyFill="1" applyProtection="1">
      <protection locked="0"/>
    </xf>
    <xf numFmtId="0" fontId="8" fillId="2" borderId="17" xfId="0" applyFont="1" applyFill="1" applyBorder="1" applyProtection="1">
      <protection locked="0"/>
    </xf>
    <xf numFmtId="172" fontId="5" fillId="2" borderId="3" xfId="0" applyNumberFormat="1" applyFont="1" applyFill="1" applyBorder="1" applyProtection="1">
      <protection locked="0"/>
    </xf>
    <xf numFmtId="0" fontId="8" fillId="2" borderId="7" xfId="2" applyFont="1" applyFill="1" applyBorder="1" applyAlignment="1">
      <alignment horizontal="left"/>
    </xf>
    <xf numFmtId="0" fontId="8" fillId="2" borderId="8" xfId="2" applyFont="1" applyFill="1" applyBorder="1"/>
    <xf numFmtId="0" fontId="8" fillId="2" borderId="9" xfId="2" applyFont="1" applyFill="1" applyBorder="1"/>
    <xf numFmtId="171" fontId="8" fillId="0" borderId="0" xfId="0" applyNumberFormat="1" applyFont="1"/>
    <xf numFmtId="0" fontId="8" fillId="2" borderId="0" xfId="2" applyFont="1" applyFill="1" applyAlignment="1">
      <alignment horizontal="left"/>
    </xf>
    <xf numFmtId="177" fontId="8" fillId="0" borderId="0" xfId="0" applyNumberFormat="1" applyFont="1"/>
    <xf numFmtId="0" fontId="8" fillId="2" borderId="3" xfId="0" applyFont="1" applyFill="1" applyBorder="1"/>
    <xf numFmtId="0" fontId="8" fillId="2" borderId="3" xfId="0" applyFont="1" applyFill="1" applyBorder="1" applyAlignment="1">
      <alignment horizontal="center" wrapText="1"/>
    </xf>
    <xf numFmtId="0" fontId="8" fillId="2" borderId="10" xfId="0" applyFont="1" applyFill="1" applyBorder="1" applyAlignment="1">
      <alignment horizontal="right"/>
    </xf>
    <xf numFmtId="0" fontId="8" fillId="2" borderId="0" xfId="2" applyFont="1" applyFill="1" applyAlignment="1">
      <alignment horizontal="center"/>
    </xf>
    <xf numFmtId="0" fontId="4" fillId="2" borderId="0" xfId="0" applyFont="1" applyFill="1" applyAlignment="1">
      <alignment horizontal="left"/>
    </xf>
    <xf numFmtId="0" fontId="8" fillId="2" borderId="12" xfId="0" applyFont="1" applyFill="1" applyBorder="1"/>
    <xf numFmtId="0" fontId="8" fillId="2" borderId="7" xfId="2" applyFont="1" applyFill="1" applyBorder="1"/>
    <xf numFmtId="168" fontId="5" fillId="2" borderId="13" xfId="0" applyNumberFormat="1" applyFont="1" applyFill="1" applyBorder="1" applyProtection="1">
      <protection locked="0"/>
    </xf>
    <xf numFmtId="0" fontId="8" fillId="2" borderId="14" xfId="0" applyFont="1" applyFill="1" applyBorder="1"/>
    <xf numFmtId="164" fontId="5" fillId="2" borderId="10" xfId="0" applyNumberFormat="1" applyFont="1" applyFill="1" applyBorder="1" applyAlignment="1" applyProtection="1">
      <alignment horizontal="right"/>
      <protection locked="0"/>
    </xf>
    <xf numFmtId="44" fontId="8" fillId="2" borderId="0" xfId="1" applyFont="1" applyFill="1"/>
    <xf numFmtId="0" fontId="8" fillId="2" borderId="11" xfId="2" applyFont="1" applyFill="1" applyBorder="1"/>
    <xf numFmtId="0" fontId="5" fillId="2" borderId="14" xfId="0" applyFont="1" applyFill="1" applyBorder="1"/>
    <xf numFmtId="1" fontId="4" fillId="2" borderId="20" xfId="0" applyNumberFormat="1" applyFont="1" applyFill="1" applyBorder="1"/>
    <xf numFmtId="172" fontId="4" fillId="2" borderId="0" xfId="0" applyNumberFormat="1" applyFont="1" applyFill="1"/>
    <xf numFmtId="1" fontId="4" fillId="2" borderId="17" xfId="0" applyNumberFormat="1" applyFont="1" applyFill="1" applyBorder="1"/>
    <xf numFmtId="0" fontId="5" fillId="2" borderId="14" xfId="0" applyFont="1" applyFill="1" applyBorder="1" applyProtection="1">
      <protection locked="0"/>
    </xf>
    <xf numFmtId="172" fontId="5" fillId="2" borderId="13" xfId="0" applyNumberFormat="1" applyFont="1" applyFill="1" applyBorder="1" applyProtection="1">
      <protection locked="0"/>
    </xf>
    <xf numFmtId="0" fontId="8" fillId="2" borderId="14" xfId="0" applyFont="1" applyFill="1" applyBorder="1" applyAlignment="1">
      <alignment horizontal="left"/>
    </xf>
    <xf numFmtId="44" fontId="8" fillId="2" borderId="0" xfId="0" applyNumberFormat="1" applyFont="1" applyFill="1"/>
    <xf numFmtId="0" fontId="8" fillId="2" borderId="15" xfId="0" applyFont="1" applyFill="1" applyBorder="1" applyAlignment="1">
      <alignment horizontal="left"/>
    </xf>
    <xf numFmtId="0" fontId="8" fillId="2" borderId="15" xfId="0" applyFont="1" applyFill="1" applyBorder="1"/>
    <xf numFmtId="0" fontId="4" fillId="2" borderId="0" xfId="0" applyFont="1" applyFill="1" applyAlignment="1">
      <alignment horizontal="center"/>
    </xf>
    <xf numFmtId="0" fontId="4" fillId="2" borderId="8" xfId="0" applyFont="1" applyFill="1" applyBorder="1" applyAlignment="1">
      <alignment horizontal="left"/>
    </xf>
    <xf numFmtId="7" fontId="4" fillId="2" borderId="9" xfId="0" applyNumberFormat="1" applyFont="1" applyFill="1" applyBorder="1"/>
    <xf numFmtId="0" fontId="8" fillId="2" borderId="16" xfId="0" applyFont="1" applyFill="1" applyBorder="1"/>
    <xf numFmtId="0" fontId="8" fillId="2" borderId="17" xfId="0" applyFont="1" applyFill="1" applyBorder="1"/>
    <xf numFmtId="178" fontId="8" fillId="2" borderId="0" xfId="1" applyNumberFormat="1" applyFont="1" applyFill="1"/>
    <xf numFmtId="9" fontId="8" fillId="2" borderId="0" xfId="0" applyNumberFormat="1" applyFont="1" applyFill="1"/>
    <xf numFmtId="170" fontId="8" fillId="0" borderId="0" xfId="0" applyNumberFormat="1" applyFont="1"/>
    <xf numFmtId="0" fontId="9" fillId="2" borderId="0" xfId="0" applyFont="1" applyFill="1"/>
    <xf numFmtId="6" fontId="5" fillId="2" borderId="3" xfId="1" applyNumberFormat="1" applyFont="1" applyFill="1" applyBorder="1" applyProtection="1">
      <protection locked="0"/>
    </xf>
    <xf numFmtId="179" fontId="8" fillId="2" borderId="0" xfId="0" applyNumberFormat="1" applyFont="1" applyFill="1"/>
    <xf numFmtId="169" fontId="8" fillId="2" borderId="0" xfId="0" applyNumberFormat="1" applyFont="1" applyFill="1"/>
    <xf numFmtId="10" fontId="5" fillId="2" borderId="3" xfId="3" applyNumberFormat="1" applyFont="1" applyFill="1" applyBorder="1" applyProtection="1">
      <protection locked="0"/>
    </xf>
    <xf numFmtId="10" fontId="5" fillId="2" borderId="15" xfId="3" applyNumberFormat="1" applyFont="1" applyFill="1" applyBorder="1" applyProtection="1">
      <protection locked="0"/>
    </xf>
    <xf numFmtId="184" fontId="8" fillId="2" borderId="0" xfId="0" applyNumberFormat="1" applyFont="1" applyFill="1"/>
    <xf numFmtId="0" fontId="8" fillId="2" borderId="0" xfId="0" applyFont="1" applyFill="1" applyAlignment="1">
      <alignment horizontal="left"/>
    </xf>
    <xf numFmtId="9" fontId="4" fillId="2" borderId="0" xfId="3" applyFont="1" applyFill="1"/>
    <xf numFmtId="173" fontId="5" fillId="2" borderId="0" xfId="3" applyNumberFormat="1" applyFont="1" applyFill="1" applyBorder="1" applyProtection="1">
      <protection locked="0"/>
    </xf>
    <xf numFmtId="0" fontId="8" fillId="2" borderId="0" xfId="0" quotePrefix="1" applyFont="1" applyFill="1"/>
    <xf numFmtId="183" fontId="8" fillId="2" borderId="0" xfId="0" applyNumberFormat="1" applyFont="1" applyFill="1"/>
    <xf numFmtId="173" fontId="5" fillId="2" borderId="4" xfId="3" applyNumberFormat="1" applyFont="1" applyFill="1" applyBorder="1" applyProtection="1">
      <protection locked="0"/>
    </xf>
    <xf numFmtId="6" fontId="5" fillId="2" borderId="4" xfId="1" applyNumberFormat="1" applyFont="1" applyFill="1" applyBorder="1" applyProtection="1">
      <protection locked="0"/>
    </xf>
    <xf numFmtId="173" fontId="5" fillId="2" borderId="15" xfId="3" applyNumberFormat="1" applyFont="1" applyFill="1" applyBorder="1" applyProtection="1">
      <protection locked="0"/>
    </xf>
    <xf numFmtId="8" fontId="4" fillId="2" borderId="0" xfId="0" applyNumberFormat="1" applyFont="1" applyFill="1"/>
    <xf numFmtId="173" fontId="5" fillId="2" borderId="0" xfId="3" applyNumberFormat="1" applyFont="1" applyFill="1" applyBorder="1"/>
    <xf numFmtId="180" fontId="5" fillId="2" borderId="0" xfId="1" applyNumberFormat="1" applyFont="1" applyFill="1" applyBorder="1"/>
    <xf numFmtId="0" fontId="8" fillId="2" borderId="8" xfId="0" applyFont="1" applyFill="1" applyBorder="1"/>
    <xf numFmtId="169" fontId="4" fillId="2" borderId="9" xfId="0" applyNumberFormat="1" applyFont="1" applyFill="1" applyBorder="1"/>
    <xf numFmtId="0" fontId="10" fillId="2" borderId="0" xfId="0" applyFont="1" applyFill="1"/>
    <xf numFmtId="7" fontId="4" fillId="2" borderId="0" xfId="0" applyNumberFormat="1" applyFont="1" applyFill="1"/>
    <xf numFmtId="8" fontId="5" fillId="2" borderId="12" xfId="1" applyNumberFormat="1" applyFont="1" applyFill="1" applyBorder="1" applyProtection="1">
      <protection locked="0"/>
    </xf>
    <xf numFmtId="2" fontId="5" fillId="2" borderId="3" xfId="1" applyNumberFormat="1" applyFont="1" applyFill="1" applyBorder="1" applyProtection="1">
      <protection locked="0"/>
    </xf>
    <xf numFmtId="44" fontId="8" fillId="0" borderId="0" xfId="0" applyNumberFormat="1" applyFont="1"/>
    <xf numFmtId="8" fontId="5" fillId="2" borderId="3" xfId="1" applyNumberFormat="1" applyFont="1" applyFill="1" applyBorder="1" applyProtection="1">
      <protection locked="0"/>
    </xf>
    <xf numFmtId="8" fontId="5" fillId="2" borderId="14" xfId="0" applyNumberFormat="1" applyFont="1" applyFill="1" applyBorder="1" applyProtection="1">
      <protection locked="0"/>
    </xf>
    <xf numFmtId="8" fontId="5" fillId="2" borderId="3" xfId="0" applyNumberFormat="1" applyFont="1" applyFill="1" applyBorder="1" applyProtection="1">
      <protection locked="0"/>
    </xf>
    <xf numFmtId="170" fontId="5" fillId="2" borderId="15" xfId="0" applyNumberFormat="1" applyFont="1" applyFill="1" applyBorder="1" applyProtection="1">
      <protection locked="0"/>
    </xf>
    <xf numFmtId="0" fontId="4" fillId="2" borderId="0" xfId="0" applyFont="1" applyFill="1" applyProtection="1">
      <protection locked="0"/>
    </xf>
    <xf numFmtId="0" fontId="4" fillId="2" borderId="0" xfId="0" applyFont="1" applyFill="1" applyAlignment="1" applyProtection="1">
      <alignment horizontal="center"/>
      <protection locked="0"/>
    </xf>
    <xf numFmtId="8" fontId="4" fillId="2" borderId="0" xfId="1" applyNumberFormat="1" applyFont="1" applyFill="1" applyBorder="1"/>
    <xf numFmtId="40" fontId="4" fillId="2" borderId="0" xfId="0" applyNumberFormat="1" applyFont="1" applyFill="1"/>
    <xf numFmtId="8" fontId="5" fillId="2" borderId="3" xfId="1" applyNumberFormat="1" applyFont="1" applyFill="1" applyBorder="1" applyAlignment="1" applyProtection="1">
      <alignment horizontal="right"/>
      <protection locked="0"/>
    </xf>
    <xf numFmtId="0" fontId="4" fillId="2" borderId="0" xfId="0" applyFont="1" applyFill="1" applyAlignment="1" applyProtection="1">
      <alignment horizontal="left"/>
      <protection locked="0"/>
    </xf>
    <xf numFmtId="8" fontId="5" fillId="2" borderId="15" xfId="1" applyNumberFormat="1" applyFont="1" applyFill="1" applyBorder="1" applyAlignment="1" applyProtection="1">
      <alignment horizontal="right"/>
      <protection locked="0"/>
    </xf>
    <xf numFmtId="166" fontId="8" fillId="2" borderId="0" xfId="0" applyNumberFormat="1" applyFont="1" applyFill="1"/>
    <xf numFmtId="0" fontId="4" fillId="4" borderId="18" xfId="0" applyFont="1" applyFill="1" applyBorder="1"/>
    <xf numFmtId="0" fontId="8" fillId="4" borderId="1" xfId="0" applyFont="1" applyFill="1" applyBorder="1"/>
    <xf numFmtId="0" fontId="4" fillId="4" borderId="13" xfId="0" applyFont="1" applyFill="1" applyBorder="1"/>
    <xf numFmtId="0" fontId="8" fillId="4" borderId="4" xfId="0" applyFont="1" applyFill="1" applyBorder="1"/>
    <xf numFmtId="2" fontId="12" fillId="4" borderId="10" xfId="0" applyNumberFormat="1" applyFont="1" applyFill="1" applyBorder="1" applyProtection="1">
      <protection locked="0"/>
    </xf>
    <xf numFmtId="186" fontId="4" fillId="2" borderId="4" xfId="0" applyNumberFormat="1" applyFont="1" applyFill="1" applyBorder="1" applyAlignment="1">
      <alignment horizontal="center"/>
    </xf>
    <xf numFmtId="186" fontId="4" fillId="2" borderId="10" xfId="0" applyNumberFormat="1" applyFont="1" applyFill="1" applyBorder="1" applyAlignment="1">
      <alignment horizontal="center"/>
    </xf>
    <xf numFmtId="0" fontId="8" fillId="4" borderId="16" xfId="0" applyFont="1" applyFill="1" applyBorder="1"/>
    <xf numFmtId="0" fontId="8" fillId="4" borderId="0" xfId="0" applyFont="1" applyFill="1"/>
    <xf numFmtId="0" fontId="8" fillId="4" borderId="12" xfId="0" applyFont="1" applyFill="1" applyBorder="1" applyAlignment="1">
      <alignment horizontal="right"/>
    </xf>
    <xf numFmtId="0" fontId="8" fillId="4" borderId="12" xfId="0" applyFont="1" applyFill="1" applyBorder="1" applyAlignment="1">
      <alignment horizontal="center"/>
    </xf>
    <xf numFmtId="0" fontId="8" fillId="4" borderId="12" xfId="0" applyFont="1" applyFill="1" applyBorder="1" applyAlignment="1">
      <alignment horizontal="center" wrapText="1"/>
    </xf>
    <xf numFmtId="0" fontId="8" fillId="4" borderId="15" xfId="0" applyFont="1" applyFill="1" applyBorder="1" applyAlignment="1">
      <alignment horizontal="right"/>
    </xf>
    <xf numFmtId="0" fontId="8" fillId="4" borderId="15" xfId="0" applyFont="1" applyFill="1" applyBorder="1" applyAlignment="1">
      <alignment horizontal="center"/>
    </xf>
    <xf numFmtId="0" fontId="8" fillId="4" borderId="14" xfId="0" applyFont="1" applyFill="1" applyBorder="1" applyAlignment="1">
      <alignment horizontal="center" wrapText="1"/>
    </xf>
    <xf numFmtId="0" fontId="4" fillId="4" borderId="0" xfId="0" applyFont="1" applyFill="1" applyAlignment="1">
      <alignment horizontal="right"/>
    </xf>
    <xf numFmtId="0" fontId="7" fillId="4" borderId="3" xfId="0" applyFont="1" applyFill="1" applyBorder="1" applyProtection="1">
      <protection locked="0"/>
    </xf>
    <xf numFmtId="0" fontId="7" fillId="4" borderId="4" xfId="0" applyFont="1" applyFill="1" applyBorder="1" applyProtection="1">
      <protection locked="0"/>
    </xf>
    <xf numFmtId="1" fontId="7" fillId="4" borderId="3" xfId="0" applyNumberFormat="1" applyFont="1" applyFill="1" applyBorder="1" applyProtection="1">
      <protection locked="0"/>
    </xf>
    <xf numFmtId="0" fontId="7" fillId="4" borderId="0" xfId="0" applyFont="1" applyFill="1" applyProtection="1">
      <protection locked="0"/>
    </xf>
    <xf numFmtId="0" fontId="8" fillId="4" borderId="15" xfId="0" applyFont="1" applyFill="1" applyBorder="1" applyAlignment="1">
      <alignment horizontal="center" wrapText="1"/>
    </xf>
    <xf numFmtId="0" fontId="13" fillId="4" borderId="16" xfId="0" applyFont="1" applyFill="1" applyBorder="1"/>
    <xf numFmtId="0" fontId="8" fillId="4" borderId="0" xfId="0" applyFont="1" applyFill="1" applyAlignment="1">
      <alignment horizontal="left"/>
    </xf>
    <xf numFmtId="0" fontId="4" fillId="4" borderId="18"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4" borderId="4" xfId="0" applyFont="1" applyFill="1" applyBorder="1" applyAlignment="1" applyProtection="1">
      <alignment horizontal="center"/>
      <protection locked="0"/>
    </xf>
    <xf numFmtId="0" fontId="8" fillId="4" borderId="17" xfId="0" applyFont="1" applyFill="1" applyBorder="1"/>
    <xf numFmtId="0" fontId="13" fillId="5" borderId="13" xfId="0" applyFont="1" applyFill="1" applyBorder="1"/>
    <xf numFmtId="0" fontId="6" fillId="5" borderId="4" xfId="0" applyFont="1" applyFill="1" applyBorder="1" applyAlignment="1">
      <alignment horizontal="left"/>
    </xf>
    <xf numFmtId="0" fontId="4" fillId="5" borderId="4" xfId="0" applyFont="1" applyFill="1" applyBorder="1" applyAlignment="1" applyProtection="1">
      <alignment horizontal="center"/>
      <protection locked="0"/>
    </xf>
    <xf numFmtId="0" fontId="8" fillId="5" borderId="4" xfId="0" applyFont="1" applyFill="1" applyBorder="1"/>
    <xf numFmtId="0" fontId="8" fillId="5" borderId="10" xfId="0" applyFont="1" applyFill="1" applyBorder="1"/>
    <xf numFmtId="0" fontId="5" fillId="4" borderId="0" xfId="0" applyFont="1" applyFill="1" applyProtection="1">
      <protection locked="0"/>
    </xf>
    <xf numFmtId="2" fontId="7" fillId="4" borderId="16" xfId="0" applyNumberFormat="1" applyFont="1" applyFill="1" applyBorder="1" applyProtection="1">
      <protection locked="0"/>
    </xf>
    <xf numFmtId="2" fontId="7" fillId="4" borderId="14" xfId="0" applyNumberFormat="1" applyFont="1" applyFill="1" applyBorder="1" applyProtection="1">
      <protection locked="0"/>
    </xf>
    <xf numFmtId="2" fontId="7" fillId="4" borderId="0" xfId="0" applyNumberFormat="1" applyFont="1" applyFill="1" applyProtection="1">
      <protection locked="0"/>
    </xf>
    <xf numFmtId="172" fontId="8" fillId="4" borderId="0" xfId="0" applyNumberFormat="1" applyFont="1" applyFill="1"/>
    <xf numFmtId="172" fontId="8" fillId="4" borderId="17" xfId="0" applyNumberFormat="1" applyFont="1" applyFill="1" applyBorder="1"/>
    <xf numFmtId="0" fontId="8" fillId="5" borderId="13" xfId="0" applyFont="1" applyFill="1" applyBorder="1"/>
    <xf numFmtId="0" fontId="6" fillId="5" borderId="4" xfId="0" applyFont="1" applyFill="1" applyBorder="1" applyProtection="1">
      <protection locked="0"/>
    </xf>
    <xf numFmtId="2" fontId="12" fillId="5" borderId="4" xfId="0" applyNumberFormat="1" applyFont="1" applyFill="1" applyBorder="1" applyProtection="1">
      <protection locked="0"/>
    </xf>
    <xf numFmtId="172" fontId="8" fillId="5" borderId="4" xfId="0" applyNumberFormat="1" applyFont="1" applyFill="1" applyBorder="1"/>
    <xf numFmtId="172" fontId="8" fillId="5" borderId="10" xfId="0" applyNumberFormat="1" applyFont="1" applyFill="1" applyBorder="1"/>
    <xf numFmtId="176" fontId="7" fillId="4" borderId="16" xfId="0" applyNumberFormat="1" applyFont="1" applyFill="1" applyBorder="1" applyProtection="1">
      <protection locked="0"/>
    </xf>
    <xf numFmtId="176" fontId="7" fillId="4" borderId="14" xfId="0" applyNumberFormat="1" applyFont="1" applyFill="1" applyBorder="1" applyProtection="1">
      <protection locked="0"/>
    </xf>
    <xf numFmtId="176" fontId="7" fillId="4" borderId="0" xfId="0" applyNumberFormat="1" applyFont="1" applyFill="1" applyProtection="1">
      <protection locked="0"/>
    </xf>
    <xf numFmtId="0" fontId="8" fillId="4" borderId="19" xfId="0" applyFont="1" applyFill="1" applyBorder="1"/>
    <xf numFmtId="0" fontId="5" fillId="4" borderId="2" xfId="0" applyFont="1" applyFill="1" applyBorder="1" applyProtection="1">
      <protection locked="0"/>
    </xf>
    <xf numFmtId="2" fontId="7" fillId="4" borderId="15" xfId="0" applyNumberFormat="1" applyFont="1" applyFill="1" applyBorder="1"/>
    <xf numFmtId="2" fontId="7" fillId="4" borderId="21" xfId="0" applyNumberFormat="1" applyFont="1" applyFill="1" applyBorder="1"/>
    <xf numFmtId="2" fontId="7" fillId="4" borderId="15" xfId="0" applyNumberFormat="1" applyFont="1" applyFill="1" applyBorder="1" applyProtection="1">
      <protection locked="0"/>
    </xf>
    <xf numFmtId="172" fontId="8" fillId="4" borderId="2" xfId="0" applyNumberFormat="1" applyFont="1" applyFill="1" applyBorder="1"/>
    <xf numFmtId="172" fontId="8" fillId="4" borderId="21" xfId="0" applyNumberFormat="1" applyFont="1" applyFill="1" applyBorder="1"/>
    <xf numFmtId="0" fontId="14" fillId="4" borderId="0" xfId="0" applyFont="1" applyFill="1" applyAlignment="1">
      <alignment horizontal="left"/>
    </xf>
    <xf numFmtId="176" fontId="5" fillId="4" borderId="0" xfId="0" applyNumberFormat="1" applyFont="1" applyFill="1"/>
    <xf numFmtId="0" fontId="8" fillId="4" borderId="0" xfId="0" applyFont="1" applyFill="1" applyAlignment="1">
      <alignment horizontal="center" wrapText="1"/>
    </xf>
    <xf numFmtId="0" fontId="4" fillId="4" borderId="0" xfId="0" applyFont="1" applyFill="1"/>
    <xf numFmtId="0" fontId="8" fillId="4" borderId="2" xfId="0" applyFont="1" applyFill="1" applyBorder="1" applyAlignment="1">
      <alignment horizontal="center"/>
    </xf>
    <xf numFmtId="0" fontId="8" fillId="4" borderId="3" xfId="0" applyFont="1" applyFill="1" applyBorder="1" applyAlignment="1">
      <alignment horizontal="center" wrapText="1"/>
    </xf>
    <xf numFmtId="0" fontId="9" fillId="4" borderId="16" xfId="0" applyFont="1" applyFill="1" applyBorder="1"/>
    <xf numFmtId="0" fontId="7" fillId="4" borderId="12" xfId="0" applyFont="1" applyFill="1" applyBorder="1" applyProtection="1">
      <protection locked="0"/>
    </xf>
    <xf numFmtId="0" fontId="7" fillId="4" borderId="1" xfId="0" applyFont="1" applyFill="1" applyBorder="1" applyProtection="1">
      <protection locked="0"/>
    </xf>
    <xf numFmtId="0" fontId="7" fillId="4" borderId="20" xfId="0" applyFont="1" applyFill="1" applyBorder="1" applyProtection="1">
      <protection locked="0"/>
    </xf>
    <xf numFmtId="1" fontId="7" fillId="4" borderId="12" xfId="0" applyNumberFormat="1" applyFont="1" applyFill="1" applyBorder="1"/>
    <xf numFmtId="172" fontId="7" fillId="4" borderId="0" xfId="0" applyNumberFormat="1" applyFont="1" applyFill="1"/>
    <xf numFmtId="172" fontId="7" fillId="4" borderId="1" xfId="0" applyNumberFormat="1" applyFont="1" applyFill="1" applyBorder="1"/>
    <xf numFmtId="0" fontId="9" fillId="5" borderId="13" xfId="0" applyFont="1" applyFill="1" applyBorder="1"/>
    <xf numFmtId="0" fontId="12" fillId="5" borderId="4" xfId="0" applyFont="1" applyFill="1" applyBorder="1" applyProtection="1">
      <protection locked="0"/>
    </xf>
    <xf numFmtId="1" fontId="4" fillId="5" borderId="4" xfId="0" applyNumberFormat="1" applyFont="1" applyFill="1" applyBorder="1"/>
    <xf numFmtId="0" fontId="4" fillId="5" borderId="10" xfId="0" applyFont="1" applyFill="1" applyBorder="1"/>
    <xf numFmtId="2" fontId="7" fillId="4" borderId="17" xfId="0" applyNumberFormat="1" applyFont="1" applyFill="1" applyBorder="1" applyProtection="1">
      <protection locked="0"/>
    </xf>
    <xf numFmtId="172" fontId="7" fillId="4" borderId="14" xfId="0" applyNumberFormat="1" applyFont="1" applyFill="1" applyBorder="1"/>
    <xf numFmtId="172" fontId="8" fillId="4" borderId="16" xfId="0" applyNumberFormat="1" applyFont="1" applyFill="1" applyBorder="1"/>
    <xf numFmtId="2" fontId="7" fillId="5" borderId="4" xfId="0" applyNumberFormat="1" applyFont="1" applyFill="1" applyBorder="1" applyProtection="1">
      <protection locked="0"/>
    </xf>
    <xf numFmtId="172" fontId="7" fillId="5" borderId="4" xfId="0" applyNumberFormat="1" applyFont="1" applyFill="1" applyBorder="1"/>
    <xf numFmtId="176" fontId="7" fillId="4" borderId="17" xfId="0" applyNumberFormat="1" applyFont="1" applyFill="1" applyBorder="1" applyProtection="1">
      <protection locked="0"/>
    </xf>
    <xf numFmtId="0" fontId="7" fillId="4" borderId="15" xfId="0" applyFont="1" applyFill="1" applyBorder="1"/>
    <xf numFmtId="172" fontId="7" fillId="4" borderId="15" xfId="0" applyNumberFormat="1" applyFont="1" applyFill="1" applyBorder="1"/>
    <xf numFmtId="172" fontId="8" fillId="4" borderId="19" xfId="0" applyNumberFormat="1" applyFont="1" applyFill="1" applyBorder="1"/>
    <xf numFmtId="0" fontId="8" fillId="4" borderId="0" xfId="0" applyFont="1" applyFill="1" applyAlignment="1">
      <alignment horizontal="center"/>
    </xf>
    <xf numFmtId="181" fontId="7" fillId="4" borderId="16" xfId="0" applyNumberFormat="1" applyFont="1" applyFill="1" applyBorder="1" applyProtection="1">
      <protection locked="0"/>
    </xf>
    <xf numFmtId="0" fontId="14" fillId="4" borderId="0" xfId="0" applyFont="1" applyFill="1" applyAlignment="1" applyProtection="1">
      <alignment horizontal="left"/>
      <protection locked="0"/>
    </xf>
    <xf numFmtId="182" fontId="7" fillId="4" borderId="16" xfId="0" applyNumberFormat="1" applyFont="1" applyFill="1" applyBorder="1" applyProtection="1">
      <protection locked="0"/>
    </xf>
    <xf numFmtId="0" fontId="7" fillId="4" borderId="19" xfId="0" applyFont="1" applyFill="1" applyBorder="1" applyAlignment="1" applyProtection="1">
      <alignment horizontal="fill"/>
      <protection locked="0"/>
    </xf>
    <xf numFmtId="0" fontId="14" fillId="4" borderId="2" xfId="0" applyFont="1" applyFill="1" applyBorder="1" applyProtection="1">
      <protection locked="0"/>
    </xf>
    <xf numFmtId="182" fontId="8" fillId="4" borderId="19" xfId="0" applyNumberFormat="1" applyFont="1" applyFill="1" applyBorder="1"/>
    <xf numFmtId="0" fontId="8" fillId="4" borderId="2" xfId="0" applyFont="1" applyFill="1" applyBorder="1"/>
    <xf numFmtId="0" fontId="8" fillId="4" borderId="21" xfId="0" applyFont="1" applyFill="1" applyBorder="1"/>
    <xf numFmtId="0" fontId="4" fillId="2" borderId="18" xfId="0" applyFont="1" applyFill="1" applyBorder="1"/>
    <xf numFmtId="0" fontId="8" fillId="2" borderId="1" xfId="0" applyFont="1" applyFill="1" applyBorder="1"/>
    <xf numFmtId="0" fontId="4" fillId="2" borderId="1" xfId="0" applyFont="1" applyFill="1" applyBorder="1"/>
    <xf numFmtId="1" fontId="4" fillId="2" borderId="1" xfId="0" applyNumberFormat="1" applyFont="1" applyFill="1" applyBorder="1"/>
    <xf numFmtId="0" fontId="8" fillId="2" borderId="20" xfId="0" applyFont="1" applyFill="1" applyBorder="1"/>
    <xf numFmtId="174" fontId="8" fillId="2" borderId="16" xfId="0" applyNumberFormat="1" applyFont="1" applyFill="1" applyBorder="1"/>
    <xf numFmtId="174" fontId="4" fillId="2" borderId="0" xfId="0" applyNumberFormat="1" applyFont="1" applyFill="1" applyAlignment="1">
      <alignment horizontal="center" wrapText="1"/>
    </xf>
    <xf numFmtId="0" fontId="4" fillId="2" borderId="0" xfId="0" applyFont="1" applyFill="1" applyAlignment="1">
      <alignment horizontal="center" wrapText="1"/>
    </xf>
    <xf numFmtId="0" fontId="4" fillId="2" borderId="17" xfId="0" applyFont="1" applyFill="1" applyBorder="1" applyAlignment="1">
      <alignment horizontal="center"/>
    </xf>
    <xf numFmtId="0" fontId="7" fillId="2" borderId="16"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171" fontId="5" fillId="2" borderId="3" xfId="1" applyNumberFormat="1" applyFont="1" applyFill="1" applyBorder="1" applyProtection="1">
      <protection locked="0"/>
    </xf>
    <xf numFmtId="44" fontId="8" fillId="2" borderId="17" xfId="1" applyFont="1" applyFill="1" applyBorder="1" applyProtection="1"/>
    <xf numFmtId="185" fontId="8" fillId="2" borderId="0" xfId="0" applyNumberFormat="1" applyFont="1" applyFill="1"/>
    <xf numFmtId="44" fontId="15" fillId="2" borderId="17" xfId="1" applyFont="1" applyFill="1" applyBorder="1" applyProtection="1"/>
    <xf numFmtId="44" fontId="16" fillId="2" borderId="0" xfId="0" applyNumberFormat="1" applyFont="1" applyFill="1"/>
    <xf numFmtId="0" fontId="17" fillId="2" borderId="16" xfId="0" applyFont="1" applyFill="1" applyBorder="1" applyProtection="1">
      <protection locked="0"/>
    </xf>
    <xf numFmtId="0" fontId="17" fillId="2" borderId="0" xfId="0" applyFont="1" applyFill="1" applyProtection="1">
      <protection locked="0"/>
    </xf>
    <xf numFmtId="175" fontId="8" fillId="2" borderId="0" xfId="0" applyNumberFormat="1" applyFont="1" applyFill="1"/>
    <xf numFmtId="44" fontId="4" fillId="2" borderId="17" xfId="0" applyNumberFormat="1" applyFont="1" applyFill="1" applyBorder="1"/>
    <xf numFmtId="0" fontId="4" fillId="2" borderId="16" xfId="0" applyFont="1" applyFill="1" applyBorder="1" applyAlignment="1">
      <alignment horizontal="left"/>
    </xf>
    <xf numFmtId="44" fontId="4" fillId="2" borderId="17" xfId="1" applyFont="1" applyFill="1" applyBorder="1" applyAlignment="1" applyProtection="1">
      <alignment horizontal="center"/>
    </xf>
    <xf numFmtId="175" fontId="17" fillId="2" borderId="0" xfId="0" applyNumberFormat="1" applyFont="1" applyFill="1" applyProtection="1">
      <protection locked="0"/>
    </xf>
    <xf numFmtId="0" fontId="8" fillId="2" borderId="16" xfId="0" applyFont="1" applyFill="1" applyBorder="1" applyAlignment="1">
      <alignment horizontal="left"/>
    </xf>
    <xf numFmtId="0" fontId="8" fillId="2" borderId="19" xfId="0" applyFont="1" applyFill="1" applyBorder="1"/>
    <xf numFmtId="0" fontId="8" fillId="2" borderId="2" xfId="0" applyFont="1" applyFill="1" applyBorder="1"/>
    <xf numFmtId="0" fontId="4" fillId="2" borderId="2" xfId="0" applyFont="1" applyFill="1" applyBorder="1" applyAlignment="1">
      <alignment horizontal="left"/>
    </xf>
    <xf numFmtId="44" fontId="4" fillId="2" borderId="21" xfId="1" applyFont="1" applyFill="1" applyBorder="1" applyAlignment="1" applyProtection="1">
      <alignment horizontal="center"/>
    </xf>
    <xf numFmtId="0" fontId="2" fillId="3" borderId="0" xfId="2" applyFont="1" applyFill="1" applyAlignment="1">
      <alignment horizontal="centerContinuous"/>
    </xf>
    <xf numFmtId="0" fontId="2" fillId="3" borderId="0" xfId="0" applyFont="1" applyFill="1" applyAlignment="1">
      <alignment horizontal="center"/>
    </xf>
    <xf numFmtId="0" fontId="8" fillId="2" borderId="16" xfId="0" applyFont="1" applyFill="1" applyBorder="1" applyAlignment="1">
      <alignment horizontal="right"/>
    </xf>
    <xf numFmtId="0" fontId="4" fillId="2" borderId="7"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4" fillId="2" borderId="7" xfId="0" applyFont="1" applyFill="1" applyBorder="1" applyAlignment="1" applyProtection="1">
      <alignment horizontal="left"/>
      <protection locked="0"/>
    </xf>
    <xf numFmtId="0" fontId="4" fillId="2" borderId="8" xfId="0" applyFont="1" applyFill="1" applyBorder="1" applyAlignment="1" applyProtection="1">
      <alignment horizontal="left"/>
      <protection locked="0"/>
    </xf>
    <xf numFmtId="0" fontId="11" fillId="2" borderId="0" xfId="0" applyFont="1" applyFill="1" applyAlignment="1">
      <alignment horizontal="left"/>
    </xf>
    <xf numFmtId="0" fontId="8" fillId="2" borderId="13" xfId="0" applyFont="1" applyFill="1" applyBorder="1" applyAlignment="1">
      <alignment horizontal="center"/>
    </xf>
    <xf numFmtId="0" fontId="8" fillId="2" borderId="10" xfId="0" applyFont="1" applyFill="1" applyBorder="1" applyAlignment="1">
      <alignment horizontal="center"/>
    </xf>
    <xf numFmtId="0" fontId="4" fillId="2" borderId="11" xfId="0" applyFont="1" applyFill="1" applyBorder="1" applyAlignment="1" applyProtection="1">
      <alignment horizontal="right"/>
      <protection locked="0"/>
    </xf>
    <xf numFmtId="0" fontId="4" fillId="2" borderId="0" xfId="0" applyFont="1" applyFill="1" applyAlignment="1" applyProtection="1">
      <alignment horizontal="right"/>
      <protection locked="0"/>
    </xf>
    <xf numFmtId="0" fontId="4" fillId="3" borderId="0" xfId="0" applyFont="1" applyFill="1" applyAlignment="1">
      <alignment horizontal="center"/>
    </xf>
    <xf numFmtId="0" fontId="4" fillId="2" borderId="7" xfId="0" applyFont="1" applyFill="1" applyBorder="1" applyAlignment="1">
      <alignment horizontal="left"/>
    </xf>
    <xf numFmtId="0" fontId="5" fillId="2" borderId="4" xfId="0" applyFont="1" applyFill="1" applyBorder="1" applyAlignment="1">
      <alignment horizontal="center"/>
    </xf>
    <xf numFmtId="0" fontId="5" fillId="2" borderId="10" xfId="0" applyFont="1" applyFill="1" applyBorder="1" applyAlignment="1">
      <alignment horizontal="center"/>
    </xf>
    <xf numFmtId="0" fontId="8" fillId="2" borderId="1" xfId="0" applyFont="1" applyFill="1" applyBorder="1" applyAlignment="1">
      <alignment horizontal="right"/>
    </xf>
    <xf numFmtId="0" fontId="8" fillId="4" borderId="16" xfId="0" applyFont="1" applyFill="1" applyBorder="1" applyAlignment="1">
      <alignment horizontal="left"/>
    </xf>
    <xf numFmtId="0" fontId="8" fillId="4" borderId="17" xfId="0" applyFont="1" applyFill="1" applyBorder="1" applyAlignment="1">
      <alignment horizontal="left"/>
    </xf>
    <xf numFmtId="0" fontId="4" fillId="4" borderId="1" xfId="0" applyFont="1" applyFill="1" applyBorder="1"/>
    <xf numFmtId="172" fontId="8" fillId="4" borderId="1" xfId="0" applyNumberFormat="1" applyFont="1" applyFill="1" applyBorder="1"/>
    <xf numFmtId="0" fontId="4" fillId="4" borderId="18" xfId="0" applyFont="1" applyFill="1" applyBorder="1" applyAlignment="1">
      <alignment horizontal="left"/>
    </xf>
    <xf numFmtId="0" fontId="4" fillId="4" borderId="1" xfId="0" applyFont="1" applyFill="1" applyBorder="1" applyAlignment="1">
      <alignment horizontal="left"/>
    </xf>
    <xf numFmtId="0" fontId="8" fillId="4" borderId="20" xfId="0" applyFont="1" applyFill="1" applyBorder="1"/>
    <xf numFmtId="171" fontId="4" fillId="2" borderId="9" xfId="1" applyNumberFormat="1" applyFont="1" applyFill="1" applyBorder="1"/>
    <xf numFmtId="171" fontId="4" fillId="2" borderId="11" xfId="0" applyNumberFormat="1" applyFont="1" applyFill="1" applyBorder="1" applyAlignment="1" applyProtection="1">
      <alignment horizontal="right"/>
      <protection locked="0"/>
    </xf>
    <xf numFmtId="171" fontId="5" fillId="2" borderId="10" xfId="0" applyNumberFormat="1" applyFont="1" applyFill="1" applyBorder="1" applyProtection="1">
      <protection locked="0"/>
    </xf>
    <xf numFmtId="171" fontId="6" fillId="0" borderId="3" xfId="2" applyNumberFormat="1" applyFont="1" applyBorder="1"/>
    <xf numFmtId="0" fontId="5" fillId="2" borderId="13" xfId="0" applyFont="1" applyFill="1" applyBorder="1" applyAlignment="1">
      <alignment horizontal="left"/>
    </xf>
    <xf numFmtId="0" fontId="5" fillId="2" borderId="17" xfId="0" applyFont="1" applyFill="1" applyBorder="1" applyAlignment="1">
      <alignment horizontal="center"/>
    </xf>
    <xf numFmtId="0" fontId="8" fillId="6" borderId="0" xfId="0" applyFont="1" applyFill="1" applyAlignment="1">
      <alignment horizontal="right"/>
    </xf>
    <xf numFmtId="0" fontId="8" fillId="6" borderId="0" xfId="0" applyFont="1" applyFill="1"/>
    <xf numFmtId="0" fontId="4" fillId="6" borderId="0" xfId="0" applyFont="1" applyFill="1"/>
    <xf numFmtId="9" fontId="5" fillId="2" borderId="3" xfId="3" applyFont="1" applyFill="1" applyBorder="1"/>
    <xf numFmtId="2" fontId="5" fillId="2" borderId="3" xfId="0" applyNumberFormat="1" applyFont="1" applyFill="1" applyBorder="1" applyProtection="1">
      <protection locked="0"/>
    </xf>
    <xf numFmtId="186" fontId="4" fillId="2" borderId="0" xfId="0" applyNumberFormat="1" applyFont="1" applyFill="1"/>
    <xf numFmtId="1" fontId="4" fillId="2" borderId="0" xfId="0" applyNumberFormat="1" applyFont="1" applyFill="1" applyAlignment="1">
      <alignment horizontal="right"/>
    </xf>
    <xf numFmtId="0" fontId="5" fillId="2" borderId="3" xfId="0" applyFont="1" applyFill="1" applyBorder="1" applyAlignment="1" applyProtection="1">
      <alignment horizontal="right"/>
      <protection locked="0"/>
    </xf>
    <xf numFmtId="9" fontId="5" fillId="2" borderId="3" xfId="3" applyFont="1" applyFill="1" applyBorder="1" applyAlignment="1">
      <alignment horizontal="right"/>
    </xf>
    <xf numFmtId="44" fontId="8" fillId="2" borderId="0" xfId="2" applyNumberFormat="1" applyFont="1" applyFill="1"/>
    <xf numFmtId="0" fontId="7" fillId="6" borderId="3" xfId="0" applyFont="1" applyFill="1" applyBorder="1"/>
    <xf numFmtId="169" fontId="8" fillId="2" borderId="0" xfId="2" applyNumberFormat="1" applyFont="1" applyFill="1"/>
    <xf numFmtId="165" fontId="5" fillId="2" borderId="10" xfId="0" applyNumberFormat="1" applyFont="1" applyFill="1" applyBorder="1" applyAlignment="1" applyProtection="1">
      <alignment horizontal="right"/>
      <protection locked="0"/>
    </xf>
    <xf numFmtId="0" fontId="9" fillId="6" borderId="0" xfId="0" applyFont="1" applyFill="1"/>
    <xf numFmtId="0" fontId="4" fillId="6" borderId="0" xfId="0" applyFont="1" applyFill="1" applyAlignment="1">
      <alignment horizontal="left"/>
    </xf>
    <xf numFmtId="0" fontId="4" fillId="2" borderId="0" xfId="2" applyFont="1" applyFill="1" applyAlignment="1">
      <alignment horizontal="left"/>
    </xf>
    <xf numFmtId="2" fontId="12" fillId="0" borderId="0" xfId="1" applyNumberFormat="1" applyFont="1" applyFill="1" applyBorder="1"/>
    <xf numFmtId="0" fontId="16" fillId="0" borderId="0" xfId="0" applyFont="1"/>
    <xf numFmtId="0" fontId="4" fillId="0" borderId="0" xfId="5" applyFont="1"/>
    <xf numFmtId="0" fontId="8" fillId="2" borderId="0" xfId="0" applyFont="1" applyFill="1" applyAlignment="1">
      <alignment vertical="center" wrapText="1"/>
    </xf>
    <xf numFmtId="0" fontId="8" fillId="2" borderId="0" xfId="0" applyFont="1" applyFill="1" applyAlignment="1">
      <alignment horizontal="left" wrapText="1"/>
    </xf>
    <xf numFmtId="0" fontId="4" fillId="2" borderId="0" xfId="0" applyFont="1" applyFill="1" applyAlignment="1">
      <alignment vertical="top"/>
    </xf>
    <xf numFmtId="0" fontId="8" fillId="2" borderId="1" xfId="0" applyFont="1" applyFill="1" applyBorder="1" applyAlignment="1">
      <alignment horizontal="center"/>
    </xf>
    <xf numFmtId="0" fontId="8" fillId="2" borderId="0" xfId="0" quotePrefix="1" applyFont="1" applyFill="1" applyAlignment="1">
      <alignment horizontal="center"/>
    </xf>
    <xf numFmtId="0" fontId="8" fillId="2" borderId="2" xfId="0" applyFont="1" applyFill="1" applyBorder="1" applyAlignment="1">
      <alignment horizontal="center"/>
    </xf>
    <xf numFmtId="0" fontId="22" fillId="2" borderId="0" xfId="0" applyFont="1" applyFill="1"/>
    <xf numFmtId="173" fontId="22" fillId="2" borderId="0" xfId="3" applyNumberFormat="1" applyFont="1" applyFill="1"/>
    <xf numFmtId="164" fontId="7" fillId="2" borderId="10" xfId="0" applyNumberFormat="1" applyFont="1" applyFill="1" applyBorder="1" applyAlignment="1" applyProtection="1">
      <alignment horizontal="right"/>
      <protection locked="0"/>
    </xf>
    <xf numFmtId="171" fontId="7" fillId="2" borderId="10" xfId="0" applyNumberFormat="1" applyFont="1" applyFill="1" applyBorder="1" applyProtection="1">
      <protection locked="0"/>
    </xf>
    <xf numFmtId="8" fontId="7" fillId="2" borderId="12" xfId="1" applyNumberFormat="1" applyFont="1" applyFill="1" applyBorder="1" applyProtection="1">
      <protection locked="0"/>
    </xf>
    <xf numFmtId="165" fontId="7" fillId="2" borderId="10" xfId="0" applyNumberFormat="1" applyFont="1" applyFill="1" applyBorder="1" applyAlignment="1" applyProtection="1">
      <alignment horizontal="right"/>
      <protection locked="0"/>
    </xf>
    <xf numFmtId="6" fontId="5" fillId="2" borderId="0" xfId="1" applyNumberFormat="1" applyFont="1" applyFill="1" applyBorder="1" applyProtection="1">
      <protection locked="0"/>
    </xf>
    <xf numFmtId="0" fontId="5" fillId="2" borderId="0" xfId="0" applyFont="1" applyFill="1" applyProtection="1">
      <protection locked="0"/>
    </xf>
    <xf numFmtId="0" fontId="8" fillId="2" borderId="0" xfId="0" quotePrefix="1" applyFont="1" applyFill="1" applyAlignment="1">
      <alignment horizontal="right"/>
    </xf>
    <xf numFmtId="1" fontId="5" fillId="2" borderId="3" xfId="1" applyNumberFormat="1" applyFont="1" applyFill="1" applyBorder="1" applyProtection="1">
      <protection locked="0"/>
    </xf>
    <xf numFmtId="8" fontId="8" fillId="2" borderId="0" xfId="2" applyNumberFormat="1" applyFont="1" applyFill="1"/>
    <xf numFmtId="6" fontId="5" fillId="2" borderId="2" xfId="1" applyNumberFormat="1" applyFont="1" applyFill="1" applyBorder="1" applyProtection="1">
      <protection locked="0"/>
    </xf>
    <xf numFmtId="0" fontId="5" fillId="2" borderId="2" xfId="0" applyFont="1" applyFill="1" applyBorder="1" applyAlignment="1" applyProtection="1">
      <alignment horizontal="center"/>
      <protection locked="0"/>
    </xf>
    <xf numFmtId="6" fontId="5" fillId="2" borderId="1" xfId="1" applyNumberFormat="1" applyFont="1" applyFill="1" applyBorder="1" applyProtection="1">
      <protection locked="0"/>
    </xf>
    <xf numFmtId="0" fontId="5" fillId="2" borderId="1" xfId="0" applyFont="1" applyFill="1" applyBorder="1" applyAlignment="1" applyProtection="1">
      <alignment horizontal="center"/>
      <protection locked="0"/>
    </xf>
    <xf numFmtId="43" fontId="8" fillId="2" borderId="0" xfId="0" applyNumberFormat="1" applyFont="1" applyFill="1" applyAlignment="1">
      <alignment horizontal="left"/>
    </xf>
    <xf numFmtId="172" fontId="5" fillId="2" borderId="3" xfId="0" applyNumberFormat="1" applyFont="1" applyFill="1" applyBorder="1" applyAlignment="1" applyProtection="1">
      <alignment horizontal="center"/>
      <protection locked="0"/>
    </xf>
    <xf numFmtId="171" fontId="7" fillId="2" borderId="3" xfId="1" applyNumberFormat="1" applyFont="1" applyFill="1" applyBorder="1" applyProtection="1">
      <protection locked="0"/>
    </xf>
    <xf numFmtId="173" fontId="8" fillId="2" borderId="0" xfId="3" applyNumberFormat="1" applyFont="1" applyFill="1" applyBorder="1" applyProtection="1">
      <protection locked="0"/>
    </xf>
    <xf numFmtId="0" fontId="7" fillId="6" borderId="3" xfId="0" applyFont="1" applyFill="1" applyBorder="1" applyProtection="1">
      <protection locked="0"/>
    </xf>
    <xf numFmtId="9" fontId="5" fillId="2" borderId="3" xfId="3" applyFont="1" applyFill="1" applyBorder="1" applyAlignment="1" applyProtection="1">
      <alignment horizontal="right"/>
      <protection locked="0"/>
    </xf>
    <xf numFmtId="2" fontId="7" fillId="4" borderId="21" xfId="0" applyNumberFormat="1" applyFont="1" applyFill="1" applyBorder="1" applyProtection="1">
      <protection locked="0"/>
    </xf>
    <xf numFmtId="1" fontId="7" fillId="4" borderId="12" xfId="0" applyNumberFormat="1" applyFont="1" applyFill="1" applyBorder="1" applyProtection="1">
      <protection locked="0"/>
    </xf>
    <xf numFmtId="172" fontId="7" fillId="4" borderId="1" xfId="0" applyNumberFormat="1" applyFont="1" applyFill="1" applyBorder="1" applyProtection="1">
      <protection locked="0"/>
    </xf>
    <xf numFmtId="172" fontId="8" fillId="5" borderId="4" xfId="0" applyNumberFormat="1" applyFont="1" applyFill="1" applyBorder="1" applyProtection="1">
      <protection locked="0"/>
    </xf>
    <xf numFmtId="172" fontId="7" fillId="4" borderId="14" xfId="0" applyNumberFormat="1" applyFont="1" applyFill="1" applyBorder="1" applyProtection="1">
      <protection locked="0"/>
    </xf>
    <xf numFmtId="172" fontId="7" fillId="5" borderId="4" xfId="0" applyNumberFormat="1" applyFont="1" applyFill="1" applyBorder="1" applyProtection="1">
      <protection locked="0"/>
    </xf>
    <xf numFmtId="0" fontId="7" fillId="4" borderId="15" xfId="0" applyFont="1" applyFill="1" applyBorder="1" applyProtection="1">
      <protection locked="0"/>
    </xf>
    <xf numFmtId="172" fontId="7" fillId="4" borderId="15" xfId="0" applyNumberFormat="1" applyFont="1" applyFill="1" applyBorder="1" applyProtection="1">
      <protection locked="0"/>
    </xf>
    <xf numFmtId="0" fontId="8" fillId="2" borderId="0" xfId="0" applyFont="1" applyFill="1" applyAlignment="1" applyProtection="1">
      <alignment horizontal="left"/>
      <protection locked="0"/>
    </xf>
  </cellXfs>
  <cellStyles count="6">
    <cellStyle name="Currency" xfId="1" builtinId="4"/>
    <cellStyle name="Normal" xfId="0" builtinId="0"/>
    <cellStyle name="Normal 2" xfId="4" xr:uid="{857C7195-955E-4F20-B7B3-160641EEB9AA}"/>
    <cellStyle name="Normal_Calfpro" xfId="2" xr:uid="{00000000-0005-0000-0000-000002000000}"/>
    <cellStyle name="Normal_Raspc2" xfId="5" xr:uid="{05F03545-3C05-4F30-BEAF-7A8662C3FD9E}"/>
    <cellStyle name="Percent" xfId="3" builtinId="5"/>
  </cellStyles>
  <dxfs count="3">
    <dxf>
      <font>
        <b/>
        <i val="0"/>
        <condense val="0"/>
        <extend val="0"/>
        <color indexed="10"/>
      </font>
    </dxf>
    <dxf>
      <font>
        <b/>
        <i val="0"/>
        <condense val="0"/>
        <extend val="0"/>
        <color indexed="10"/>
      </font>
      <fill>
        <patternFill patternType="none">
          <bgColor indexed="65"/>
        </patternFill>
      </fill>
    </dxf>
    <dxf>
      <font>
        <condense val="0"/>
        <extend val="0"/>
        <color indexed="10"/>
      </font>
    </dxf>
  </dxfs>
  <tableStyles count="0" defaultTableStyle="TableStyleMedium2" defaultPivotStyle="PivotStyleLight16"/>
  <colors>
    <mruColors>
      <color rgb="FF00FF00"/>
      <color rgb="FF008000"/>
      <color rgb="FFFFFF99"/>
      <color rgb="FFE9C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7620</xdr:colOff>
      <xdr:row>15</xdr:row>
      <xdr:rowOff>7620</xdr:rowOff>
    </xdr:from>
    <xdr:to>
      <xdr:col>19</xdr:col>
      <xdr:colOff>419100</xdr:colOff>
      <xdr:row>22</xdr:row>
      <xdr:rowOff>152400</xdr:rowOff>
    </xdr:to>
    <xdr:cxnSp macro="">
      <xdr:nvCxnSpPr>
        <xdr:cNvPr id="1106" name="AutoShape 5">
          <a:extLst>
            <a:ext uri="{FF2B5EF4-FFF2-40B4-BE49-F238E27FC236}">
              <a16:creationId xmlns:a16="http://schemas.microsoft.com/office/drawing/2014/main" id="{E61AD84C-E7A7-43F4-A44F-C7CABF192424}"/>
            </a:ext>
            <a:ext uri="{C183D7F6-B498-43B3-948B-1728B52AA6E4}">
              <adec:decorative xmlns:adec="http://schemas.microsoft.com/office/drawing/2017/decorative" val="1"/>
            </a:ext>
          </a:extLst>
        </xdr:cNvPr>
        <xdr:cNvCxnSpPr>
          <a:cxnSpLocks noChangeShapeType="1"/>
        </xdr:cNvCxnSpPr>
      </xdr:nvCxnSpPr>
      <xdr:spPr bwMode="auto">
        <a:xfrm rot="5400000">
          <a:off x="14257020" y="2781300"/>
          <a:ext cx="1127760" cy="1447800"/>
        </a:xfrm>
        <a:prstGeom prst="bentConnector3">
          <a:avLst>
            <a:gd name="adj1" fmla="val 99273"/>
          </a:avLst>
        </a:prstGeom>
        <a:noFill/>
        <a:ln w="15875">
          <a:solidFill>
            <a:srgbClr xmlns:mc="http://schemas.openxmlformats.org/markup-compatibility/2006" xmlns:a14="http://schemas.microsoft.com/office/drawing/2010/main" val="000000" mc:Ignorable="a14" a14:legacySpreadsheetColorIndex="8"/>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1104900</xdr:colOff>
      <xdr:row>37</xdr:row>
      <xdr:rowOff>114300</xdr:rowOff>
    </xdr:from>
    <xdr:to>
      <xdr:col>4</xdr:col>
      <xdr:colOff>314325</xdr:colOff>
      <xdr:row>39</xdr:row>
      <xdr:rowOff>114300</xdr:rowOff>
    </xdr:to>
    <xdr:sp macro="" textlink="">
      <xdr:nvSpPr>
        <xdr:cNvPr id="2" name="Callout: Down Arrow 1">
          <a:extLst>
            <a:ext uri="{FF2B5EF4-FFF2-40B4-BE49-F238E27FC236}">
              <a16:creationId xmlns:a16="http://schemas.microsoft.com/office/drawing/2014/main" id="{1DC73C22-77C2-4619-B1A4-B27CCFCC99DF}"/>
            </a:ext>
          </a:extLst>
        </xdr:cNvPr>
        <xdr:cNvSpPr/>
      </xdr:nvSpPr>
      <xdr:spPr bwMode="auto">
        <a:xfrm>
          <a:off x="1400175" y="8353425"/>
          <a:ext cx="2085975" cy="400050"/>
        </a:xfrm>
        <a:prstGeom prst="downArrowCallout">
          <a:avLst/>
        </a:prstGeom>
        <a:solidFill>
          <a:srgbClr val="00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CA" sz="1200" b="1"/>
            <a:t>Go to Feed Usage</a:t>
          </a:r>
          <a:r>
            <a:rPr lang="en-CA" sz="1200" b="1" baseline="0"/>
            <a:t> Calculations</a:t>
          </a:r>
          <a:endParaRPr lang="en-CA" sz="1200" b="1"/>
        </a:p>
      </xdr:txBody>
    </xdr:sp>
    <xdr:clientData/>
  </xdr:twoCellAnchor>
  <xdr:twoCellAnchor>
    <xdr:from>
      <xdr:col>5</xdr:col>
      <xdr:colOff>561975</xdr:colOff>
      <xdr:row>78</xdr:row>
      <xdr:rowOff>123825</xdr:rowOff>
    </xdr:from>
    <xdr:to>
      <xdr:col>8</xdr:col>
      <xdr:colOff>361950</xdr:colOff>
      <xdr:row>80</xdr:row>
      <xdr:rowOff>152400</xdr:rowOff>
    </xdr:to>
    <xdr:sp macro="" textlink="">
      <xdr:nvSpPr>
        <xdr:cNvPr id="10" name="Callout: Down Arrow 9">
          <a:extLst>
            <a:ext uri="{FF2B5EF4-FFF2-40B4-BE49-F238E27FC236}">
              <a16:creationId xmlns:a16="http://schemas.microsoft.com/office/drawing/2014/main" id="{2B643D3E-71D7-4301-A7DD-B27DD145A31B}"/>
            </a:ext>
          </a:extLst>
        </xdr:cNvPr>
        <xdr:cNvSpPr/>
      </xdr:nvSpPr>
      <xdr:spPr bwMode="auto">
        <a:xfrm>
          <a:off x="4486275" y="15697200"/>
          <a:ext cx="2085975" cy="400050"/>
        </a:xfrm>
        <a:prstGeom prst="downArrowCallout">
          <a:avLst/>
        </a:prstGeom>
        <a:solidFill>
          <a:srgbClr val="00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CA" sz="1200" b="1"/>
            <a:t>Go Health</a:t>
          </a:r>
          <a:r>
            <a:rPr lang="en-CA" sz="1200" b="1" baseline="0"/>
            <a:t> Cost Calculations</a:t>
          </a:r>
          <a:endParaRPr lang="en-CA" sz="1200" b="1"/>
        </a:p>
      </xdr:txBody>
    </xdr:sp>
    <xdr:clientData/>
  </xdr:twoCellAnchor>
  <xdr:twoCellAnchor>
    <xdr:from>
      <xdr:col>12</xdr:col>
      <xdr:colOff>485775</xdr:colOff>
      <xdr:row>97</xdr:row>
      <xdr:rowOff>57150</xdr:rowOff>
    </xdr:from>
    <xdr:to>
      <xdr:col>12</xdr:col>
      <xdr:colOff>1638300</xdr:colOff>
      <xdr:row>103</xdr:row>
      <xdr:rowOff>57150</xdr:rowOff>
    </xdr:to>
    <xdr:sp macro="" textlink="">
      <xdr:nvSpPr>
        <xdr:cNvPr id="3" name="Callout: Right Arrow 2">
          <a:extLst>
            <a:ext uri="{FF2B5EF4-FFF2-40B4-BE49-F238E27FC236}">
              <a16:creationId xmlns:a16="http://schemas.microsoft.com/office/drawing/2014/main" id="{557623E6-0D92-4BC9-A3F2-A3676BEA9E85}"/>
            </a:ext>
          </a:extLst>
        </xdr:cNvPr>
        <xdr:cNvSpPr/>
      </xdr:nvSpPr>
      <xdr:spPr bwMode="auto">
        <a:xfrm rot="19747261">
          <a:off x="11525250" y="19516725"/>
          <a:ext cx="1152525" cy="1114425"/>
        </a:xfrm>
        <a:prstGeom prst="rightArrowCallout">
          <a:avLst/>
        </a:prstGeom>
        <a:solidFill>
          <a:srgbClr val="00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lang="en-CA" sz="1200" b="1"/>
            <a:t>Go to Risk</a:t>
          </a:r>
          <a:r>
            <a:rPr lang="en-CA" sz="1200" b="1" baseline="0"/>
            <a:t> Analysis Section</a:t>
          </a:r>
          <a:endParaRPr lang="en-CA" sz="1200" b="1"/>
        </a:p>
      </xdr:txBody>
    </xdr:sp>
    <xdr:clientData/>
  </xdr:twoCellAnchor>
  <xdr:twoCellAnchor>
    <xdr:from>
      <xdr:col>9</xdr:col>
      <xdr:colOff>114300</xdr:colOff>
      <xdr:row>150</xdr:row>
      <xdr:rowOff>152400</xdr:rowOff>
    </xdr:from>
    <xdr:to>
      <xdr:col>10</xdr:col>
      <xdr:colOff>962025</xdr:colOff>
      <xdr:row>153</xdr:row>
      <xdr:rowOff>161925</xdr:rowOff>
    </xdr:to>
    <xdr:sp macro="" textlink="">
      <xdr:nvSpPr>
        <xdr:cNvPr id="5" name="Callout: Up Arrow 4">
          <a:extLst>
            <a:ext uri="{FF2B5EF4-FFF2-40B4-BE49-F238E27FC236}">
              <a16:creationId xmlns:a16="http://schemas.microsoft.com/office/drawing/2014/main" id="{F2DF015F-637D-4961-957B-B5B2DB7B10D4}"/>
            </a:ext>
          </a:extLst>
        </xdr:cNvPr>
        <xdr:cNvSpPr/>
      </xdr:nvSpPr>
      <xdr:spPr bwMode="auto">
        <a:xfrm>
          <a:off x="7581900" y="30441900"/>
          <a:ext cx="2114550" cy="600075"/>
        </a:xfrm>
        <a:prstGeom prst="upArrowCallout">
          <a:avLst/>
        </a:prstGeom>
        <a:solidFill>
          <a:srgbClr val="00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CA" sz="1200" b="1"/>
            <a:t>Return</a:t>
          </a:r>
          <a:r>
            <a:rPr lang="en-CA" sz="1200" b="1" baseline="0"/>
            <a:t> to COP Calculator</a:t>
          </a:r>
        </a:p>
      </xdr:txBody>
    </xdr:sp>
    <xdr:clientData/>
  </xdr:twoCellAnchor>
  <xdr:twoCellAnchor>
    <xdr:from>
      <xdr:col>9</xdr:col>
      <xdr:colOff>257175</xdr:colOff>
      <xdr:row>198</xdr:row>
      <xdr:rowOff>95250</xdr:rowOff>
    </xdr:from>
    <xdr:to>
      <xdr:col>10</xdr:col>
      <xdr:colOff>1104900</xdr:colOff>
      <xdr:row>199</xdr:row>
      <xdr:rowOff>495300</xdr:rowOff>
    </xdr:to>
    <xdr:sp macro="" textlink="">
      <xdr:nvSpPr>
        <xdr:cNvPr id="15" name="Callout: Up Arrow 14">
          <a:extLst>
            <a:ext uri="{FF2B5EF4-FFF2-40B4-BE49-F238E27FC236}">
              <a16:creationId xmlns:a16="http://schemas.microsoft.com/office/drawing/2014/main" id="{47D9B9A7-3192-4B29-B427-65C2494EFCD8}"/>
            </a:ext>
          </a:extLst>
        </xdr:cNvPr>
        <xdr:cNvSpPr/>
      </xdr:nvSpPr>
      <xdr:spPr bwMode="auto">
        <a:xfrm>
          <a:off x="7724775" y="41729025"/>
          <a:ext cx="2114550" cy="600075"/>
        </a:xfrm>
        <a:prstGeom prst="upArrowCallout">
          <a:avLst/>
        </a:prstGeom>
        <a:solidFill>
          <a:srgbClr val="00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CA" sz="1200" b="1"/>
            <a:t>Return</a:t>
          </a:r>
          <a:r>
            <a:rPr lang="en-CA" sz="1200" b="1" baseline="0"/>
            <a:t> to COP Calculator</a:t>
          </a:r>
        </a:p>
      </xdr:txBody>
    </xdr:sp>
    <xdr:clientData/>
  </xdr:twoCellAnchor>
  <xdr:twoCellAnchor>
    <xdr:from>
      <xdr:col>18</xdr:col>
      <xdr:colOff>504825</xdr:colOff>
      <xdr:row>23</xdr:row>
      <xdr:rowOff>152400</xdr:rowOff>
    </xdr:from>
    <xdr:to>
      <xdr:col>19</xdr:col>
      <xdr:colOff>638175</xdr:colOff>
      <xdr:row>29</xdr:row>
      <xdr:rowOff>66675</xdr:rowOff>
    </xdr:to>
    <xdr:sp macro="" textlink="">
      <xdr:nvSpPr>
        <xdr:cNvPr id="6" name="Callout: Left Arrow 5">
          <a:extLst>
            <a:ext uri="{FF2B5EF4-FFF2-40B4-BE49-F238E27FC236}">
              <a16:creationId xmlns:a16="http://schemas.microsoft.com/office/drawing/2014/main" id="{F1FC46DB-E225-417F-929E-344F850B3F1D}"/>
            </a:ext>
          </a:extLst>
        </xdr:cNvPr>
        <xdr:cNvSpPr/>
      </xdr:nvSpPr>
      <xdr:spPr bwMode="auto">
        <a:xfrm>
          <a:off x="19859625" y="5562600"/>
          <a:ext cx="1143000" cy="1114425"/>
        </a:xfrm>
        <a:prstGeom prst="leftArrowCallout">
          <a:avLst/>
        </a:prstGeom>
        <a:solidFill>
          <a:srgbClr val="00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CA" sz="1200" b="1"/>
            <a:t>Return to COP Calculator</a:t>
          </a:r>
        </a:p>
      </xdr:txBody>
    </xdr:sp>
    <xdr:clientData/>
  </xdr:twoCellAnchor>
  <xdr:twoCellAnchor>
    <xdr:from>
      <xdr:col>34</xdr:col>
      <xdr:colOff>1104900</xdr:colOff>
      <xdr:row>37</xdr:row>
      <xdr:rowOff>114300</xdr:rowOff>
    </xdr:from>
    <xdr:to>
      <xdr:col>36</xdr:col>
      <xdr:colOff>314325</xdr:colOff>
      <xdr:row>39</xdr:row>
      <xdr:rowOff>114300</xdr:rowOff>
    </xdr:to>
    <xdr:sp macro="" textlink="">
      <xdr:nvSpPr>
        <xdr:cNvPr id="9" name="Callout: Down Arrow 8">
          <a:extLst>
            <a:ext uri="{FF2B5EF4-FFF2-40B4-BE49-F238E27FC236}">
              <a16:creationId xmlns:a16="http://schemas.microsoft.com/office/drawing/2014/main" id="{82FA31DB-CF27-46C8-A8DB-375FBD36CEAF}"/>
            </a:ext>
          </a:extLst>
        </xdr:cNvPr>
        <xdr:cNvSpPr/>
      </xdr:nvSpPr>
      <xdr:spPr bwMode="auto">
        <a:xfrm>
          <a:off x="1409700" y="8300357"/>
          <a:ext cx="2159454" cy="391886"/>
        </a:xfrm>
        <a:prstGeom prst="downArrowCallout">
          <a:avLst/>
        </a:prstGeom>
        <a:solidFill>
          <a:srgbClr val="00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CA" sz="1200" b="1"/>
            <a:t>Go to Feed Usage</a:t>
          </a:r>
          <a:r>
            <a:rPr lang="en-CA" sz="1200" b="1" baseline="0"/>
            <a:t> Calculations</a:t>
          </a:r>
          <a:endParaRPr lang="en-CA" sz="1200" b="1"/>
        </a:p>
      </xdr:txBody>
    </xdr:sp>
    <xdr:clientData/>
  </xdr:twoCellAnchor>
  <xdr:twoCellAnchor>
    <xdr:from>
      <xdr:col>37</xdr:col>
      <xdr:colOff>561975</xdr:colOff>
      <xdr:row>78</xdr:row>
      <xdr:rowOff>123825</xdr:rowOff>
    </xdr:from>
    <xdr:to>
      <xdr:col>40</xdr:col>
      <xdr:colOff>361950</xdr:colOff>
      <xdr:row>80</xdr:row>
      <xdr:rowOff>152400</xdr:rowOff>
    </xdr:to>
    <xdr:sp macro="" textlink="">
      <xdr:nvSpPr>
        <xdr:cNvPr id="11" name="Callout: Down Arrow 10">
          <a:extLst>
            <a:ext uri="{FF2B5EF4-FFF2-40B4-BE49-F238E27FC236}">
              <a16:creationId xmlns:a16="http://schemas.microsoft.com/office/drawing/2014/main" id="{DEFD8427-E065-4542-951D-956A90487BBA}"/>
            </a:ext>
          </a:extLst>
        </xdr:cNvPr>
        <xdr:cNvSpPr/>
      </xdr:nvSpPr>
      <xdr:spPr bwMode="auto">
        <a:xfrm>
          <a:off x="4589689" y="15505339"/>
          <a:ext cx="2151290" cy="387804"/>
        </a:xfrm>
        <a:prstGeom prst="downArrowCallout">
          <a:avLst/>
        </a:prstGeom>
        <a:solidFill>
          <a:srgbClr val="00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CA" sz="1200" b="1"/>
            <a:t>Go Health</a:t>
          </a:r>
          <a:r>
            <a:rPr lang="en-CA" sz="1200" b="1" baseline="0"/>
            <a:t> Cost Calculations</a:t>
          </a:r>
          <a:endParaRPr lang="en-CA" sz="1200" b="1"/>
        </a:p>
      </xdr:txBody>
    </xdr:sp>
    <xdr:clientData/>
  </xdr:twoCellAnchor>
  <xdr:twoCellAnchor>
    <xdr:from>
      <xdr:col>44</xdr:col>
      <xdr:colOff>485775</xdr:colOff>
      <xdr:row>97</xdr:row>
      <xdr:rowOff>57150</xdr:rowOff>
    </xdr:from>
    <xdr:to>
      <xdr:col>44</xdr:col>
      <xdr:colOff>1638300</xdr:colOff>
      <xdr:row>103</xdr:row>
      <xdr:rowOff>57150</xdr:rowOff>
    </xdr:to>
    <xdr:sp macro="" textlink="">
      <xdr:nvSpPr>
        <xdr:cNvPr id="12" name="Callout: Right Arrow 11">
          <a:extLst>
            <a:ext uri="{FF2B5EF4-FFF2-40B4-BE49-F238E27FC236}">
              <a16:creationId xmlns:a16="http://schemas.microsoft.com/office/drawing/2014/main" id="{FF05082F-F0A7-4244-95C7-6F1CCC905167}"/>
            </a:ext>
          </a:extLst>
        </xdr:cNvPr>
        <xdr:cNvSpPr/>
      </xdr:nvSpPr>
      <xdr:spPr bwMode="auto">
        <a:xfrm rot="19747261">
          <a:off x="11970204" y="19237779"/>
          <a:ext cx="1152525" cy="1164771"/>
        </a:xfrm>
        <a:prstGeom prst="rightArrowCallout">
          <a:avLst/>
        </a:prstGeom>
        <a:solidFill>
          <a:srgbClr val="00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lang="en-CA" sz="1200" b="1"/>
            <a:t>Go to Risk</a:t>
          </a:r>
          <a:r>
            <a:rPr lang="en-CA" sz="1200" b="1" baseline="0"/>
            <a:t> Analysis Section</a:t>
          </a:r>
          <a:endParaRPr lang="en-CA" sz="1200" b="1"/>
        </a:p>
      </xdr:txBody>
    </xdr:sp>
    <xdr:clientData/>
  </xdr:twoCellAnchor>
  <xdr:twoCellAnchor>
    <xdr:from>
      <xdr:col>41</xdr:col>
      <xdr:colOff>114300</xdr:colOff>
      <xdr:row>150</xdr:row>
      <xdr:rowOff>152400</xdr:rowOff>
    </xdr:from>
    <xdr:to>
      <xdr:col>42</xdr:col>
      <xdr:colOff>962025</xdr:colOff>
      <xdr:row>153</xdr:row>
      <xdr:rowOff>161925</xdr:rowOff>
    </xdr:to>
    <xdr:sp macro="" textlink="">
      <xdr:nvSpPr>
        <xdr:cNvPr id="13" name="Callout: Up Arrow 12">
          <a:extLst>
            <a:ext uri="{FF2B5EF4-FFF2-40B4-BE49-F238E27FC236}">
              <a16:creationId xmlns:a16="http://schemas.microsoft.com/office/drawing/2014/main" id="{59416616-DBAF-4849-9D25-3BBD39DC7CD1}"/>
            </a:ext>
          </a:extLst>
        </xdr:cNvPr>
        <xdr:cNvSpPr/>
      </xdr:nvSpPr>
      <xdr:spPr bwMode="auto">
        <a:xfrm>
          <a:off x="7788729" y="30033686"/>
          <a:ext cx="2154010" cy="597353"/>
        </a:xfrm>
        <a:prstGeom prst="upArrowCallout">
          <a:avLst/>
        </a:prstGeom>
        <a:solidFill>
          <a:srgbClr val="00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CA" sz="1200" b="1"/>
            <a:t>Return</a:t>
          </a:r>
          <a:r>
            <a:rPr lang="en-CA" sz="1200" b="1" baseline="0"/>
            <a:t> to COP Calculator</a:t>
          </a:r>
        </a:p>
      </xdr:txBody>
    </xdr:sp>
    <xdr:clientData/>
  </xdr:twoCellAnchor>
  <xdr:twoCellAnchor>
    <xdr:from>
      <xdr:col>41</xdr:col>
      <xdr:colOff>257175</xdr:colOff>
      <xdr:row>198</xdr:row>
      <xdr:rowOff>95250</xdr:rowOff>
    </xdr:from>
    <xdr:to>
      <xdr:col>42</xdr:col>
      <xdr:colOff>1104900</xdr:colOff>
      <xdr:row>199</xdr:row>
      <xdr:rowOff>495300</xdr:rowOff>
    </xdr:to>
    <xdr:sp macro="" textlink="">
      <xdr:nvSpPr>
        <xdr:cNvPr id="14" name="Callout: Up Arrow 13">
          <a:extLst>
            <a:ext uri="{FF2B5EF4-FFF2-40B4-BE49-F238E27FC236}">
              <a16:creationId xmlns:a16="http://schemas.microsoft.com/office/drawing/2014/main" id="{95FA5E84-0286-41A3-9074-5D5FA57B89BA}"/>
            </a:ext>
          </a:extLst>
        </xdr:cNvPr>
        <xdr:cNvSpPr/>
      </xdr:nvSpPr>
      <xdr:spPr bwMode="auto">
        <a:xfrm>
          <a:off x="7931604" y="39969621"/>
          <a:ext cx="2154010" cy="496933"/>
        </a:xfrm>
        <a:prstGeom prst="upArrowCallout">
          <a:avLst/>
        </a:prstGeom>
        <a:solidFill>
          <a:srgbClr val="00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CA" sz="1200" b="1"/>
            <a:t>Return</a:t>
          </a:r>
          <a:r>
            <a:rPr lang="en-CA" sz="1200" b="1" baseline="0"/>
            <a:t> to COP Calculator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5"/>
  <sheetViews>
    <sheetView showGridLines="0" workbookViewId="0">
      <selection activeCell="F24" sqref="F24"/>
    </sheetView>
  </sheetViews>
  <sheetFormatPr defaultRowHeight="12.75" x14ac:dyDescent="0.2"/>
  <cols>
    <col min="1" max="1" width="87.140625" customWidth="1"/>
  </cols>
  <sheetData>
    <row r="1" spans="1:1" ht="15.75" x14ac:dyDescent="0.25">
      <c r="A1" s="283" t="s">
        <v>0</v>
      </c>
    </row>
    <row r="2" spans="1:1" ht="20.25" x14ac:dyDescent="0.3">
      <c r="A2" s="236" t="s">
        <v>1</v>
      </c>
    </row>
    <row r="3" spans="1:1" ht="15" x14ac:dyDescent="0.2">
      <c r="A3" s="15"/>
    </row>
    <row r="4" spans="1:1" ht="44.25" customHeight="1" x14ac:dyDescent="0.2">
      <c r="A4" s="284" t="s">
        <v>2</v>
      </c>
    </row>
    <row r="5" spans="1:1" ht="15" x14ac:dyDescent="0.2">
      <c r="A5" s="15"/>
    </row>
    <row r="6" spans="1:1" ht="29.25" customHeight="1" x14ac:dyDescent="0.2">
      <c r="A6" s="284" t="s">
        <v>3</v>
      </c>
    </row>
    <row r="7" spans="1:1" ht="15" x14ac:dyDescent="0.2">
      <c r="A7" s="15"/>
    </row>
    <row r="8" spans="1:1" ht="57" customHeight="1" x14ac:dyDescent="0.2">
      <c r="A8" s="284" t="s">
        <v>4</v>
      </c>
    </row>
    <row r="9" spans="1:1" ht="15" x14ac:dyDescent="0.2">
      <c r="A9" s="15"/>
    </row>
    <row r="10" spans="1:1" ht="42" customHeight="1" x14ac:dyDescent="0.2">
      <c r="A10" s="284" t="s">
        <v>5</v>
      </c>
    </row>
    <row r="11" spans="1:1" ht="15" x14ac:dyDescent="0.2">
      <c r="A11" s="15"/>
    </row>
    <row r="12" spans="1:1" s="1" customFormat="1" ht="27" customHeight="1" x14ac:dyDescent="0.2">
      <c r="A12" s="284" t="s">
        <v>6</v>
      </c>
    </row>
    <row r="13" spans="1:1" ht="15" x14ac:dyDescent="0.2">
      <c r="A13" s="15"/>
    </row>
    <row r="14" spans="1:1" ht="12" customHeight="1" x14ac:dyDescent="0.2">
      <c r="A14" s="285" t="s">
        <v>7</v>
      </c>
    </row>
    <row r="15" spans="1:1" ht="15" x14ac:dyDescent="0.2">
      <c r="A15" s="15"/>
    </row>
    <row r="16" spans="1:1" ht="15.75" x14ac:dyDescent="0.2">
      <c r="A16" s="286" t="s">
        <v>8</v>
      </c>
    </row>
    <row r="17" spans="1:1" ht="15" x14ac:dyDescent="0.2">
      <c r="A17" s="15" t="s">
        <v>9</v>
      </c>
    </row>
    <row r="18" spans="1:1" ht="15" x14ac:dyDescent="0.2">
      <c r="A18" s="15" t="s">
        <v>10</v>
      </c>
    </row>
    <row r="19" spans="1:1" ht="15" x14ac:dyDescent="0.2">
      <c r="A19" s="15"/>
    </row>
    <row r="20" spans="1:1" ht="15.75" x14ac:dyDescent="0.25">
      <c r="A20" s="18" t="s">
        <v>11</v>
      </c>
    </row>
    <row r="21" spans="1:1" ht="15" x14ac:dyDescent="0.2">
      <c r="A21" s="287" t="s">
        <v>12</v>
      </c>
    </row>
    <row r="22" spans="1:1" ht="15" x14ac:dyDescent="0.2">
      <c r="A22" s="288" t="s">
        <v>13</v>
      </c>
    </row>
    <row r="23" spans="1:1" ht="15" x14ac:dyDescent="0.2">
      <c r="A23" s="32" t="s">
        <v>14</v>
      </c>
    </row>
    <row r="24" spans="1:1" ht="15" x14ac:dyDescent="0.2">
      <c r="A24" s="289" t="s">
        <v>15</v>
      </c>
    </row>
    <row r="25" spans="1:1" ht="15" x14ac:dyDescent="0.2">
      <c r="A25" s="15" t="s">
        <v>16</v>
      </c>
    </row>
  </sheetData>
  <pageMargins left="0.75" right="0.75" top="1" bottom="1" header="0.5" footer="0.5"/>
  <pageSetup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Z218"/>
  <sheetViews>
    <sheetView showGridLines="0" tabSelected="1" topLeftCell="C9" zoomScaleNormal="100" workbookViewId="0">
      <selection activeCell="I41" sqref="I41"/>
    </sheetView>
  </sheetViews>
  <sheetFormatPr defaultColWidth="9.140625" defaultRowHeight="15.75" x14ac:dyDescent="0.25"/>
  <cols>
    <col min="1" max="1" width="1.5703125" style="13" customWidth="1"/>
    <col min="2" max="2" width="4.5703125" style="13" customWidth="1"/>
    <col min="3" max="3" width="34" style="13" customWidth="1"/>
    <col min="4" max="4" width="9.140625" style="37" customWidth="1"/>
    <col min="5" max="5" width="11.28515625" style="13" customWidth="1"/>
    <col min="6" max="6" width="10" style="13" customWidth="1"/>
    <col min="7" max="7" width="9.7109375" style="13" customWidth="1"/>
    <col min="8" max="8" width="14.5703125" style="13" customWidth="1"/>
    <col min="9" max="9" width="18.85546875" style="13" customWidth="1"/>
    <col min="10" max="10" width="20" style="13" customWidth="1"/>
    <col min="11" max="11" width="21" style="13" customWidth="1"/>
    <col min="12" max="12" width="15.7109375" style="13" customWidth="1"/>
    <col min="13" max="13" width="41.7109375" style="13" customWidth="1"/>
    <col min="14" max="14" width="12.28515625" style="13" customWidth="1"/>
    <col min="15" max="15" width="9.7109375" style="13" customWidth="1"/>
    <col min="16" max="16" width="26.85546875" style="13" customWidth="1"/>
    <col min="17" max="17" width="11.140625" style="13" customWidth="1"/>
    <col min="18" max="18" width="23" style="13" customWidth="1"/>
    <col min="19" max="19" width="15.140625" style="13" customWidth="1"/>
    <col min="20" max="20" width="12.85546875" style="13" customWidth="1"/>
    <col min="21" max="21" width="5.5703125" style="13" customWidth="1"/>
    <col min="22" max="25" width="9.140625" style="13" hidden="1" customWidth="1"/>
    <col min="26" max="26" width="8.85546875" style="13" hidden="1" customWidth="1"/>
    <col min="27" max="27" width="12.85546875" style="13" hidden="1" customWidth="1"/>
    <col min="28" max="29" width="8.85546875" style="13" hidden="1" customWidth="1"/>
    <col min="30" max="34" width="9.140625" style="13" hidden="1" customWidth="1"/>
    <col min="35" max="35" width="32.28515625" style="13" hidden="1" customWidth="1"/>
    <col min="36" max="36" width="7.42578125" style="13" hidden="1" customWidth="1"/>
    <col min="37" max="40" width="9.140625" style="13" hidden="1" customWidth="1"/>
    <col min="41" max="41" width="15.42578125" style="13" hidden="1" customWidth="1"/>
    <col min="42" max="42" width="9.140625" style="13" hidden="1" customWidth="1"/>
    <col min="43" max="43" width="15" style="13" hidden="1" customWidth="1"/>
    <col min="44" max="44" width="15.5703125" style="13" hidden="1" customWidth="1"/>
    <col min="45" max="45" width="30.42578125" style="13" hidden="1" customWidth="1"/>
    <col min="46" max="52" width="9.140625" style="13" hidden="1" customWidth="1"/>
    <col min="53" max="16384" width="9.140625" style="13"/>
  </cols>
  <sheetData>
    <row r="1" spans="1:45" x14ac:dyDescent="0.25">
      <c r="A1" s="283" t="s">
        <v>0</v>
      </c>
    </row>
    <row r="2" spans="1:45" ht="20.25" x14ac:dyDescent="0.3">
      <c r="A2" s="235" t="s">
        <v>17</v>
      </c>
      <c r="B2" s="235"/>
      <c r="C2" s="235"/>
      <c r="D2" s="235"/>
      <c r="E2" s="235"/>
      <c r="F2" s="235"/>
      <c r="G2" s="235"/>
      <c r="H2" s="235"/>
      <c r="I2" s="235"/>
      <c r="J2" s="235"/>
      <c r="K2" s="235"/>
      <c r="L2" s="3"/>
      <c r="M2" s="2" t="s">
        <v>18</v>
      </c>
      <c r="N2" s="11"/>
      <c r="O2" s="11"/>
      <c r="P2" s="11"/>
      <c r="Q2" s="11"/>
      <c r="R2" s="11"/>
      <c r="S2" s="11"/>
      <c r="T2" s="11"/>
      <c r="U2" s="12"/>
      <c r="AG2" s="235" t="s">
        <v>17</v>
      </c>
      <c r="AH2" s="235"/>
      <c r="AI2" s="235"/>
      <c r="AJ2" s="235"/>
      <c r="AK2" s="235"/>
      <c r="AL2" s="235"/>
      <c r="AM2" s="235"/>
      <c r="AN2" s="235"/>
      <c r="AO2" s="235"/>
      <c r="AP2" s="235"/>
      <c r="AQ2" s="235"/>
    </row>
    <row r="3" spans="1:45" ht="21.75" customHeight="1" x14ac:dyDescent="0.25">
      <c r="A3" s="3"/>
      <c r="B3" s="3"/>
      <c r="C3" s="3"/>
      <c r="D3" s="3"/>
      <c r="E3" s="3"/>
      <c r="F3" s="3"/>
      <c r="G3" s="3"/>
      <c r="H3" s="3"/>
      <c r="I3" s="3"/>
      <c r="J3" s="3"/>
      <c r="K3" s="3"/>
      <c r="L3" s="3"/>
      <c r="M3" s="14" t="s">
        <v>19</v>
      </c>
      <c r="N3" s="14"/>
      <c r="O3" s="14"/>
      <c r="P3" s="14"/>
      <c r="Q3" s="14"/>
      <c r="R3" s="14"/>
      <c r="S3" s="14"/>
      <c r="T3" s="14"/>
      <c r="U3" s="15"/>
      <c r="AG3" s="280" t="s">
        <v>20</v>
      </c>
      <c r="AH3" s="3"/>
      <c r="AI3" s="3"/>
      <c r="AJ3" s="3"/>
      <c r="AK3" s="3"/>
      <c r="AL3" s="3"/>
      <c r="AM3" s="3"/>
      <c r="AN3" s="3"/>
      <c r="AO3" s="3"/>
      <c r="AP3" s="3"/>
      <c r="AQ3" s="3"/>
      <c r="AR3" s="23">
        <f>AJ26*AK26/AR6</f>
        <v>0.33653846153846162</v>
      </c>
      <c r="AS3" s="13" t="s">
        <v>21</v>
      </c>
    </row>
    <row r="4" spans="1:45" x14ac:dyDescent="0.25">
      <c r="A4" s="15"/>
      <c r="B4" s="15"/>
      <c r="C4" s="15"/>
      <c r="D4" s="264"/>
      <c r="E4" s="263" t="s">
        <v>22</v>
      </c>
      <c r="F4" s="249"/>
      <c r="G4" s="249"/>
      <c r="H4" s="250"/>
      <c r="I4" s="15"/>
      <c r="J4" s="16" t="s">
        <v>23</v>
      </c>
      <c r="K4" s="17">
        <v>2023</v>
      </c>
      <c r="L4" s="15"/>
      <c r="M4" s="14" t="s">
        <v>24</v>
      </c>
      <c r="N4" s="14"/>
      <c r="O4" s="14"/>
      <c r="P4" s="14"/>
      <c r="Q4" s="14"/>
      <c r="R4" s="14"/>
      <c r="S4" s="14"/>
      <c r="T4" s="14"/>
      <c r="U4" s="15"/>
      <c r="AG4" s="15"/>
      <c r="AH4" s="15"/>
      <c r="AI4" s="15"/>
      <c r="AJ4" s="264"/>
      <c r="AK4" s="263" t="s">
        <v>22</v>
      </c>
      <c r="AL4" s="249"/>
      <c r="AM4" s="249"/>
      <c r="AN4" s="250"/>
      <c r="AO4" s="15"/>
      <c r="AP4" s="16" t="s">
        <v>23</v>
      </c>
      <c r="AQ4" s="17">
        <v>2019</v>
      </c>
      <c r="AR4" s="23">
        <f>AJ27*AK27/AR6</f>
        <v>0.66346153846153844</v>
      </c>
      <c r="AS4" s="13" t="s">
        <v>25</v>
      </c>
    </row>
    <row r="5" spans="1:45" x14ac:dyDescent="0.25">
      <c r="A5" s="247"/>
      <c r="B5" s="247"/>
      <c r="C5" s="247" t="s">
        <v>26</v>
      </c>
      <c r="D5" s="18"/>
      <c r="E5" s="19"/>
      <c r="F5" s="15"/>
      <c r="G5" s="15"/>
      <c r="H5" s="15"/>
      <c r="I5" s="15"/>
      <c r="J5" s="16" t="s">
        <v>27</v>
      </c>
      <c r="K5" s="20">
        <f ca="1">NOW()</f>
        <v>45499.45185740741</v>
      </c>
      <c r="L5" s="15"/>
      <c r="M5" s="14" t="s">
        <v>28</v>
      </c>
      <c r="N5" s="14"/>
      <c r="O5" s="14"/>
      <c r="P5" s="14"/>
      <c r="Q5" s="14"/>
      <c r="R5" s="14"/>
      <c r="S5" s="14"/>
      <c r="T5" s="14"/>
      <c r="U5" s="15"/>
      <c r="AG5" s="247"/>
      <c r="AH5" s="247"/>
      <c r="AI5" s="247" t="s">
        <v>26</v>
      </c>
      <c r="AJ5" s="18"/>
      <c r="AK5" s="19"/>
      <c r="AL5" s="15"/>
      <c r="AM5" s="15"/>
      <c r="AN5" s="15"/>
      <c r="AO5" s="15"/>
      <c r="AP5" s="16" t="s">
        <v>27</v>
      </c>
      <c r="AQ5" s="20">
        <f ca="1">NOW()</f>
        <v>45499.45185740741</v>
      </c>
    </row>
    <row r="6" spans="1:45" x14ac:dyDescent="0.25">
      <c r="A6" s="15"/>
      <c r="B6" s="15"/>
      <c r="C6" s="21" t="s">
        <v>29</v>
      </c>
      <c r="D6" s="22">
        <v>1000</v>
      </c>
      <c r="E6" s="15"/>
      <c r="F6" s="251"/>
      <c r="G6" s="251" t="s">
        <v>30</v>
      </c>
      <c r="H6" s="22">
        <v>2</v>
      </c>
      <c r="I6" s="15"/>
      <c r="J6" s="15"/>
      <c r="K6" s="15"/>
      <c r="L6" s="15"/>
      <c r="M6" s="14" t="s">
        <v>31</v>
      </c>
      <c r="N6" s="14"/>
      <c r="O6" s="14"/>
      <c r="P6" s="14"/>
      <c r="Q6" s="14"/>
      <c r="R6" s="14"/>
      <c r="S6" s="14"/>
      <c r="T6" s="14"/>
      <c r="U6" s="15"/>
      <c r="AA6" s="23">
        <f>D26*E26+D27*E27</f>
        <v>98307.455999999976</v>
      </c>
      <c r="AB6" s="13" t="s">
        <v>32</v>
      </c>
      <c r="AG6" s="15"/>
      <c r="AH6" s="15"/>
      <c r="AI6" s="21" t="s">
        <v>29</v>
      </c>
      <c r="AJ6" s="22">
        <f>D6</f>
        <v>1000</v>
      </c>
      <c r="AK6" s="15"/>
      <c r="AL6" s="251"/>
      <c r="AM6" s="251" t="s">
        <v>30</v>
      </c>
      <c r="AN6" s="22">
        <f>H6</f>
        <v>2</v>
      </c>
      <c r="AO6" s="15"/>
      <c r="AP6" s="15"/>
      <c r="AQ6" s="15"/>
      <c r="AR6" s="23">
        <f>(AJ26*AK26)+(AJ27*AK27)</f>
        <v>98307.455999999976</v>
      </c>
      <c r="AS6" s="13" t="s">
        <v>32</v>
      </c>
    </row>
    <row r="7" spans="1:45" x14ac:dyDescent="0.25">
      <c r="A7" s="15"/>
      <c r="B7" s="15"/>
      <c r="C7" s="265" t="s">
        <v>33</v>
      </c>
      <c r="D7" s="25">
        <v>0.15</v>
      </c>
      <c r="E7" s="15"/>
      <c r="F7" s="21"/>
      <c r="G7" s="21" t="s">
        <v>34</v>
      </c>
      <c r="H7" s="25">
        <v>0.2</v>
      </c>
      <c r="I7" s="24"/>
      <c r="J7" s="24"/>
      <c r="K7" s="15"/>
      <c r="L7" s="15"/>
      <c r="M7" s="14" t="s">
        <v>35</v>
      </c>
      <c r="N7" s="14"/>
      <c r="O7" s="14"/>
      <c r="P7" s="14"/>
      <c r="Q7" s="14"/>
      <c r="R7" s="14"/>
      <c r="S7" s="14"/>
      <c r="T7" s="14"/>
      <c r="U7" s="15"/>
      <c r="AA7" s="23">
        <f>(K26+K27)/AA6</f>
        <v>2.8342307692307691</v>
      </c>
      <c r="AB7" s="13" t="s">
        <v>36</v>
      </c>
      <c r="AG7" s="15"/>
      <c r="AH7" s="15"/>
      <c r="AI7" s="265" t="s">
        <v>33</v>
      </c>
      <c r="AJ7" s="268">
        <f>D7</f>
        <v>0.15</v>
      </c>
      <c r="AK7" s="15"/>
      <c r="AL7" s="21"/>
      <c r="AM7" s="21" t="s">
        <v>34</v>
      </c>
      <c r="AN7" s="25">
        <f>H7</f>
        <v>0.2</v>
      </c>
      <c r="AO7" s="24"/>
      <c r="AP7" s="24"/>
      <c r="AQ7" s="15"/>
      <c r="AR7" s="23">
        <f>(AQ26+AQ27)/AR6</f>
        <v>2.8342307692307691</v>
      </c>
      <c r="AS7" s="13" t="s">
        <v>36</v>
      </c>
    </row>
    <row r="8" spans="1:45" x14ac:dyDescent="0.25">
      <c r="A8" s="15"/>
      <c r="B8" s="15"/>
      <c r="C8" s="21" t="s">
        <v>37</v>
      </c>
      <c r="D8" s="25">
        <v>0.03</v>
      </c>
      <c r="E8" s="15"/>
      <c r="F8" s="15"/>
      <c r="G8" s="21" t="s">
        <v>38</v>
      </c>
      <c r="H8" s="25">
        <v>0.1</v>
      </c>
      <c r="I8" s="26"/>
      <c r="J8" s="26"/>
      <c r="K8" s="15"/>
      <c r="L8" s="15"/>
      <c r="M8" s="14" t="s">
        <v>39</v>
      </c>
      <c r="N8" s="14"/>
      <c r="O8" s="14"/>
      <c r="P8" s="14"/>
      <c r="Q8" s="14"/>
      <c r="R8" s="14"/>
      <c r="S8" s="14"/>
      <c r="T8" s="14"/>
      <c r="U8" s="15"/>
      <c r="AA8" s="13">
        <f>(((E26*D26)+(D27*E27))/H17)</f>
        <v>78.207999999999984</v>
      </c>
      <c r="AB8" s="13" t="s">
        <v>40</v>
      </c>
      <c r="AG8" s="15"/>
      <c r="AH8" s="15"/>
      <c r="AI8" s="21" t="s">
        <v>37</v>
      </c>
      <c r="AJ8" s="268">
        <f>D8</f>
        <v>0.03</v>
      </c>
      <c r="AK8" s="15"/>
      <c r="AL8" s="15"/>
      <c r="AM8" s="21" t="s">
        <v>38</v>
      </c>
      <c r="AN8" s="25">
        <f>H8</f>
        <v>0.1</v>
      </c>
      <c r="AO8" s="26"/>
      <c r="AP8" s="26"/>
      <c r="AQ8" s="15"/>
      <c r="AR8" s="23">
        <f>(((AJ26*AK26)+(AJ27*AK27))/AN17)</f>
        <v>78.207999999999984</v>
      </c>
      <c r="AS8" s="13" t="s">
        <v>40</v>
      </c>
    </row>
    <row r="9" spans="1:45" x14ac:dyDescent="0.25">
      <c r="A9" s="15"/>
      <c r="B9" s="15"/>
      <c r="C9" s="21" t="s">
        <v>41</v>
      </c>
      <c r="D9" s="271">
        <f>$D6*($D7+$D8)</f>
        <v>180</v>
      </c>
      <c r="E9" s="21"/>
      <c r="F9" s="21"/>
      <c r="G9" s="237" t="s">
        <v>42</v>
      </c>
      <c r="H9" s="272">
        <v>0</v>
      </c>
      <c r="I9" s="27"/>
      <c r="J9" s="27"/>
      <c r="K9" s="15"/>
      <c r="L9" s="15"/>
      <c r="M9" s="14" t="s">
        <v>43</v>
      </c>
      <c r="N9" s="14"/>
      <c r="O9" s="14"/>
      <c r="P9" s="14"/>
      <c r="Q9" s="14"/>
      <c r="R9" s="14"/>
      <c r="S9" s="14"/>
      <c r="T9" s="14"/>
      <c r="U9" s="15"/>
      <c r="AA9" s="28">
        <f>AA7*AA8*H17</f>
        <v>278626.01663999993</v>
      </c>
      <c r="AB9" s="13" t="s">
        <v>44</v>
      </c>
      <c r="AG9" s="15"/>
      <c r="AH9" s="15"/>
      <c r="AI9" s="21" t="s">
        <v>41</v>
      </c>
      <c r="AJ9" s="271">
        <f>$D6*($D7+$D8)</f>
        <v>180</v>
      </c>
      <c r="AK9" s="21"/>
      <c r="AL9" s="21"/>
      <c r="AM9" s="237" t="s">
        <v>42</v>
      </c>
      <c r="AN9" s="272">
        <f>H9</f>
        <v>0</v>
      </c>
      <c r="AO9" s="27"/>
      <c r="AP9" s="27"/>
      <c r="AQ9" s="15"/>
      <c r="AR9" s="23">
        <f>AR8*AR7*AN17</f>
        <v>278626.01663999993</v>
      </c>
      <c r="AS9" s="13" t="s">
        <v>44</v>
      </c>
    </row>
    <row r="10" spans="1:45" x14ac:dyDescent="0.25">
      <c r="A10" s="15"/>
      <c r="B10" s="15"/>
      <c r="C10" s="265" t="s">
        <v>45</v>
      </c>
      <c r="D10" s="309">
        <v>180</v>
      </c>
      <c r="E10" s="15"/>
      <c r="F10" s="15"/>
      <c r="G10" s="266"/>
      <c r="H10" s="266"/>
      <c r="I10" s="15"/>
      <c r="J10" s="15"/>
      <c r="K10" s="15"/>
      <c r="L10" s="15"/>
      <c r="M10" s="14"/>
      <c r="N10" s="14"/>
      <c r="O10" s="14"/>
      <c r="P10" s="14"/>
      <c r="Q10" s="14"/>
      <c r="R10" s="14"/>
      <c r="S10" s="14"/>
      <c r="T10" s="14"/>
      <c r="U10" s="15"/>
      <c r="AG10" s="15"/>
      <c r="AH10" s="15"/>
      <c r="AI10" s="265" t="s">
        <v>45</v>
      </c>
      <c r="AJ10" s="275">
        <f>D10</f>
        <v>180</v>
      </c>
      <c r="AK10" s="15"/>
      <c r="AL10" s="15"/>
      <c r="AM10" s="266"/>
      <c r="AN10" s="266"/>
      <c r="AO10" s="15"/>
      <c r="AP10" s="15"/>
      <c r="AQ10" s="15"/>
    </row>
    <row r="11" spans="1:45" ht="16.5" thickBot="1" x14ac:dyDescent="0.3">
      <c r="A11" s="15"/>
      <c r="B11" s="15"/>
      <c r="C11" s="21" t="s">
        <v>46</v>
      </c>
      <c r="D11" s="25">
        <v>0.96</v>
      </c>
      <c r="E11" s="15"/>
      <c r="F11" s="266"/>
      <c r="G11" s="21" t="s">
        <v>47</v>
      </c>
      <c r="H11" s="16">
        <f>D6*D11</f>
        <v>960</v>
      </c>
      <c r="I11" s="15"/>
      <c r="J11" s="15"/>
      <c r="K11" s="15"/>
      <c r="L11" s="15"/>
      <c r="M11" s="30" t="s">
        <v>48</v>
      </c>
      <c r="N11" s="3"/>
      <c r="O11" s="14"/>
      <c r="P11" s="31" t="s">
        <v>49</v>
      </c>
      <c r="Q11" s="3" t="s">
        <v>50</v>
      </c>
      <c r="R11" s="30"/>
      <c r="S11" s="30" t="s">
        <v>51</v>
      </c>
      <c r="T11" s="14"/>
      <c r="U11" s="15"/>
      <c r="AG11" s="15"/>
      <c r="AH11" s="15"/>
      <c r="AI11" s="21" t="s">
        <v>46</v>
      </c>
      <c r="AJ11" s="268">
        <f>D11</f>
        <v>0.96</v>
      </c>
      <c r="AK11" s="15"/>
      <c r="AL11" s="266"/>
      <c r="AM11" s="21" t="s">
        <v>47</v>
      </c>
      <c r="AN11" s="16">
        <f>AJ6*AJ11</f>
        <v>960</v>
      </c>
      <c r="AO11" s="15"/>
      <c r="AP11" s="15"/>
      <c r="AQ11" s="15"/>
    </row>
    <row r="12" spans="1:45" ht="16.5" thickBot="1" x14ac:dyDescent="0.3">
      <c r="A12" s="15"/>
      <c r="B12" s="15"/>
      <c r="C12" s="21" t="s">
        <v>52</v>
      </c>
      <c r="D12" s="22">
        <v>160</v>
      </c>
      <c r="E12" s="15"/>
      <c r="F12" s="32"/>
      <c r="G12" s="21" t="s">
        <v>53</v>
      </c>
      <c r="H12" s="35">
        <f>365-D12</f>
        <v>205</v>
      </c>
      <c r="I12" s="15"/>
      <c r="J12" s="15"/>
      <c r="K12" s="15"/>
      <c r="L12" s="15"/>
      <c r="M12" s="14" t="s">
        <v>54</v>
      </c>
      <c r="N12" s="262">
        <f>G26</f>
        <v>3.02</v>
      </c>
      <c r="O12" s="14"/>
      <c r="P12" s="33" t="s">
        <v>55</v>
      </c>
      <c r="Q12" s="4">
        <v>0</v>
      </c>
      <c r="R12" s="14"/>
      <c r="S12" s="33" t="s">
        <v>56</v>
      </c>
      <c r="T12" s="5">
        <f>IF(Q12=0,N12,IF(Q12&gt;0,N12*(1+Q12),N12*(1-(ABS(Q12)))))</f>
        <v>3.02</v>
      </c>
      <c r="U12" s="15"/>
      <c r="AA12" s="281">
        <f>((H11*T14-H11*T14*T15-H11*(D7+D8)-D25-H9)*(T12*(((E27*D27)+(E26*D26))/H17))+K28+K29+K30+K31+K25+K24)/D6</f>
        <v>334.48902757792001</v>
      </c>
      <c r="AB12" s="282" t="s">
        <v>57</v>
      </c>
      <c r="AC12" s="282"/>
      <c r="AG12" s="15"/>
      <c r="AH12" s="15"/>
      <c r="AI12" s="21" t="s">
        <v>52</v>
      </c>
      <c r="AJ12" s="22">
        <f>D12</f>
        <v>160</v>
      </c>
      <c r="AK12" s="15"/>
      <c r="AL12" s="32"/>
      <c r="AM12" s="21" t="s">
        <v>53</v>
      </c>
      <c r="AN12" s="35">
        <f>365-AJ12</f>
        <v>205</v>
      </c>
      <c r="AO12" s="15"/>
      <c r="AP12" s="15"/>
      <c r="AQ12" s="15"/>
      <c r="AR12" s="36"/>
    </row>
    <row r="13" spans="1:45" ht="16.5" thickBot="1" x14ac:dyDescent="0.3">
      <c r="A13" s="15"/>
      <c r="B13" s="15"/>
      <c r="C13" s="21" t="s">
        <v>58</v>
      </c>
      <c r="D13" s="269">
        <v>1.52</v>
      </c>
      <c r="E13" s="15"/>
      <c r="F13" s="32"/>
      <c r="G13" s="32"/>
      <c r="H13" s="266"/>
      <c r="I13" s="266"/>
      <c r="J13" s="305"/>
      <c r="K13" s="15"/>
      <c r="L13" s="15"/>
      <c r="M13" s="14" t="s">
        <v>59</v>
      </c>
      <c r="N13" s="262">
        <f>G27</f>
        <v>2.74</v>
      </c>
      <c r="O13" s="14"/>
      <c r="P13" s="33" t="s">
        <v>55</v>
      </c>
      <c r="Q13" s="4">
        <v>0</v>
      </c>
      <c r="R13" s="14"/>
      <c r="S13" s="33" t="s">
        <v>60</v>
      </c>
      <c r="T13" s="5">
        <f>IF(Q13=0,N13,IF(Q13&gt;0,N13*(1+Q13),N13*(1-(ABS(Q13)))))</f>
        <v>2.74</v>
      </c>
      <c r="U13" s="15"/>
      <c r="AA13" s="106">
        <f>AS32</f>
        <v>314.45228163999997</v>
      </c>
      <c r="AB13" s="13" t="s">
        <v>61</v>
      </c>
      <c r="AG13" s="15"/>
      <c r="AH13" s="15"/>
      <c r="AI13" s="21" t="s">
        <v>58</v>
      </c>
      <c r="AJ13" s="269">
        <f>T14</f>
        <v>1.52</v>
      </c>
      <c r="AK13" s="15"/>
      <c r="AL13" s="32"/>
      <c r="AM13" s="32"/>
      <c r="AN13" s="266"/>
      <c r="AO13" s="266"/>
      <c r="AP13" s="89"/>
      <c r="AQ13" s="15"/>
      <c r="AR13" s="23"/>
    </row>
    <row r="14" spans="1:45" ht="16.5" thickBot="1" x14ac:dyDescent="0.3">
      <c r="A14" s="15"/>
      <c r="B14" s="15"/>
      <c r="C14" s="21" t="s">
        <v>62</v>
      </c>
      <c r="D14" s="29">
        <v>1.4999999999999999E-2</v>
      </c>
      <c r="E14" s="15"/>
      <c r="F14" s="266"/>
      <c r="G14" s="266"/>
      <c r="H14" s="266"/>
      <c r="I14" s="266"/>
      <c r="J14" s="15"/>
      <c r="K14" s="15"/>
      <c r="L14" s="15"/>
      <c r="M14" s="14" t="s">
        <v>63</v>
      </c>
      <c r="N14" s="6">
        <f>D13</f>
        <v>1.52</v>
      </c>
      <c r="O14" s="14"/>
      <c r="P14" s="33" t="s">
        <v>64</v>
      </c>
      <c r="Q14" s="4">
        <v>0</v>
      </c>
      <c r="R14" s="14"/>
      <c r="S14" s="33" t="s">
        <v>65</v>
      </c>
      <c r="T14" s="6">
        <f>IF(Q14=0,N14,IF(Q14&gt;0,N14*(1+Q14),N14*(1-(ABS(Q14)))))</f>
        <v>1.52</v>
      </c>
      <c r="U14" s="15"/>
      <c r="AA14" s="36">
        <f>AR94</f>
        <v>260.23642298119245</v>
      </c>
      <c r="AB14" s="13" t="s">
        <v>66</v>
      </c>
      <c r="AE14" s="37"/>
      <c r="AG14" s="15"/>
      <c r="AH14" s="15"/>
      <c r="AI14" s="21" t="s">
        <v>62</v>
      </c>
      <c r="AJ14" s="29">
        <f>T15</f>
        <v>1.4999999999999999E-2</v>
      </c>
      <c r="AK14" s="15"/>
      <c r="AL14" s="266"/>
      <c r="AM14" s="266"/>
      <c r="AN14" s="266"/>
      <c r="AO14" s="266"/>
      <c r="AP14" s="15"/>
      <c r="AQ14" s="15"/>
      <c r="AR14" s="23"/>
    </row>
    <row r="15" spans="1:45" ht="31.9" customHeight="1" thickBot="1" x14ac:dyDescent="0.3">
      <c r="A15" s="15"/>
      <c r="B15" s="15"/>
      <c r="C15" s="266"/>
      <c r="D15" s="267"/>
      <c r="E15" s="15"/>
      <c r="F15" s="15"/>
      <c r="G15" s="15"/>
      <c r="H15" s="266"/>
      <c r="I15" s="266"/>
      <c r="J15" s="89"/>
      <c r="K15" s="89"/>
      <c r="L15" s="15"/>
      <c r="M15" s="38" t="s">
        <v>67</v>
      </c>
      <c r="N15" s="7">
        <f>D14</f>
        <v>1.4999999999999999E-2</v>
      </c>
      <c r="O15" s="14"/>
      <c r="P15" s="39" t="s">
        <v>68</v>
      </c>
      <c r="Q15" s="4">
        <v>0</v>
      </c>
      <c r="R15" s="14"/>
      <c r="S15" s="33" t="s">
        <v>69</v>
      </c>
      <c r="T15" s="7">
        <f>IF(Q15=0,N15,IF(Q15&gt;0,N15*(1+Q15),N15*(1-(ABS(Q15)))))</f>
        <v>1.4999999999999999E-2</v>
      </c>
      <c r="U15" s="15"/>
      <c r="AA15" s="36"/>
      <c r="AG15" s="15"/>
      <c r="AH15" s="15"/>
      <c r="AI15" s="266"/>
      <c r="AJ15" s="267"/>
      <c r="AK15" s="15"/>
      <c r="AL15" s="15"/>
      <c r="AM15" s="15"/>
      <c r="AN15" s="266"/>
      <c r="AO15" s="266"/>
      <c r="AP15" s="89"/>
      <c r="AQ15" s="89"/>
      <c r="AR15" s="23"/>
    </row>
    <row r="16" spans="1:45" ht="33" customHeight="1" x14ac:dyDescent="0.25">
      <c r="A16" s="247"/>
      <c r="B16" s="247"/>
      <c r="C16" s="247" t="s">
        <v>70</v>
      </c>
      <c r="D16" s="40"/>
      <c r="E16" s="15"/>
      <c r="F16" s="41"/>
      <c r="G16" s="15"/>
      <c r="H16" s="266"/>
      <c r="I16" s="266"/>
      <c r="J16" s="89"/>
      <c r="K16" s="89"/>
      <c r="L16" s="15"/>
      <c r="M16" s="14"/>
      <c r="N16" s="42" t="s">
        <v>71</v>
      </c>
      <c r="O16" s="14"/>
      <c r="P16" s="14"/>
      <c r="Q16" s="14"/>
      <c r="R16" s="14"/>
      <c r="S16" s="14"/>
      <c r="T16" s="14"/>
      <c r="U16" s="15"/>
      <c r="AG16" s="247"/>
      <c r="AH16" s="247"/>
      <c r="AI16" s="247" t="s">
        <v>70</v>
      </c>
      <c r="AJ16" s="40"/>
      <c r="AK16" s="15"/>
      <c r="AL16" s="41"/>
      <c r="AM16" s="15"/>
      <c r="AN16" s="266"/>
      <c r="AO16" s="266"/>
      <c r="AP16" s="89"/>
      <c r="AQ16" s="89"/>
    </row>
    <row r="17" spans="1:45" ht="32.25" customHeight="1" x14ac:dyDescent="0.25">
      <c r="A17" s="15"/>
      <c r="B17" s="15"/>
      <c r="C17" s="21" t="s">
        <v>72</v>
      </c>
      <c r="D17" s="29">
        <v>0.75</v>
      </c>
      <c r="E17" s="15"/>
      <c r="F17" s="15"/>
      <c r="G17" s="15"/>
      <c r="H17" s="270">
        <f>ROUND(H11*D13-H11*D13*D14-D10-H9,0)</f>
        <v>1257</v>
      </c>
      <c r="I17" s="89" t="s">
        <v>73</v>
      </c>
      <c r="J17" s="15"/>
      <c r="K17" s="15"/>
      <c r="L17" s="15"/>
      <c r="M17" s="14"/>
      <c r="N17" s="42"/>
      <c r="O17" s="14"/>
      <c r="P17" s="14"/>
      <c r="Q17" s="14"/>
      <c r="R17" s="14"/>
      <c r="S17" s="14"/>
      <c r="T17" s="14"/>
      <c r="U17" s="15"/>
      <c r="AG17" s="15"/>
      <c r="AH17" s="15"/>
      <c r="AI17" s="21" t="s">
        <v>72</v>
      </c>
      <c r="AJ17" s="29">
        <f>D17</f>
        <v>0.75</v>
      </c>
      <c r="AK17" s="15"/>
      <c r="AL17" s="15"/>
      <c r="AM17" s="15"/>
      <c r="AN17" s="270">
        <f>ROUND(AN11*AJ13-AN11*AJ13*AJ14-AJ10-AN9,0)</f>
        <v>1257</v>
      </c>
      <c r="AO17" s="89" t="s">
        <v>73</v>
      </c>
      <c r="AP17" s="15"/>
      <c r="AQ17" s="15"/>
    </row>
    <row r="18" spans="1:45" x14ac:dyDescent="0.25">
      <c r="A18" s="15"/>
      <c r="B18" s="43" t="s">
        <v>74</v>
      </c>
      <c r="C18" s="44"/>
      <c r="D18" s="22">
        <v>70</v>
      </c>
      <c r="E18" s="15" t="s">
        <v>75</v>
      </c>
      <c r="F18" s="15"/>
      <c r="G18" s="15"/>
      <c r="H18" s="310">
        <v>0.4</v>
      </c>
      <c r="I18" s="230" t="s">
        <v>76</v>
      </c>
      <c r="J18" s="89"/>
      <c r="K18" s="89"/>
      <c r="L18" s="15"/>
      <c r="M18" s="14"/>
      <c r="N18" s="42"/>
      <c r="O18" s="14"/>
      <c r="P18" s="14"/>
      <c r="Q18" s="14"/>
      <c r="R18" s="14"/>
      <c r="S18" s="14"/>
      <c r="T18" s="14"/>
      <c r="U18" s="15"/>
      <c r="AG18" s="15"/>
      <c r="AH18" s="43" t="s">
        <v>74</v>
      </c>
      <c r="AI18" s="44"/>
      <c r="AJ18" s="22">
        <f>D18</f>
        <v>70</v>
      </c>
      <c r="AK18" s="15" t="s">
        <v>75</v>
      </c>
      <c r="AL18" s="15"/>
      <c r="AM18" s="15"/>
      <c r="AN18" s="273">
        <f>H18</f>
        <v>0.4</v>
      </c>
      <c r="AO18" s="230" t="s">
        <v>76</v>
      </c>
      <c r="AP18" s="89"/>
      <c r="AQ18" s="89"/>
    </row>
    <row r="19" spans="1:45" ht="16.5" thickBot="1" x14ac:dyDescent="0.3">
      <c r="A19" s="15"/>
      <c r="B19" s="21"/>
      <c r="C19" s="21" t="s">
        <v>77</v>
      </c>
      <c r="D19" s="22">
        <v>92</v>
      </c>
      <c r="E19" s="15" t="s">
        <v>75</v>
      </c>
      <c r="F19" s="15"/>
      <c r="G19" s="15"/>
      <c r="H19" s="272">
        <v>56</v>
      </c>
      <c r="I19" s="230" t="s">
        <v>78</v>
      </c>
      <c r="J19" s="89"/>
      <c r="K19" s="89"/>
      <c r="L19" s="15"/>
      <c r="M19" s="14"/>
      <c r="N19" s="42"/>
      <c r="O19" s="14"/>
      <c r="P19" s="14"/>
      <c r="Q19" s="14"/>
      <c r="R19" s="14"/>
      <c r="S19" s="14"/>
      <c r="T19" s="14"/>
      <c r="U19" s="15"/>
      <c r="AG19" s="15"/>
      <c r="AH19" s="21"/>
      <c r="AI19" s="21" t="s">
        <v>77</v>
      </c>
      <c r="AJ19" s="22">
        <f>D19</f>
        <v>92</v>
      </c>
      <c r="AK19" s="15" t="s">
        <v>75</v>
      </c>
      <c r="AL19" s="15"/>
      <c r="AM19" s="15"/>
      <c r="AN19" s="272">
        <f>H19</f>
        <v>56</v>
      </c>
      <c r="AO19" s="230" t="s">
        <v>78</v>
      </c>
      <c r="AP19" s="89"/>
      <c r="AQ19" s="89"/>
    </row>
    <row r="20" spans="1:45" ht="16.5" thickBot="1" x14ac:dyDescent="0.3">
      <c r="A20" s="15"/>
      <c r="B20" s="21"/>
      <c r="C20" s="21" t="s">
        <v>79</v>
      </c>
      <c r="D20" s="45">
        <v>6</v>
      </c>
      <c r="E20" s="15" t="s">
        <v>80</v>
      </c>
      <c r="F20" s="15"/>
      <c r="G20" s="15"/>
      <c r="H20" s="272">
        <v>70</v>
      </c>
      <c r="I20" s="230" t="s">
        <v>81</v>
      </c>
      <c r="J20" s="89"/>
      <c r="K20" s="89"/>
      <c r="L20" s="15"/>
      <c r="M20" s="14"/>
      <c r="N20" s="8">
        <f>K97</f>
        <v>38.174317381514122</v>
      </c>
      <c r="O20" s="46" t="s">
        <v>82</v>
      </c>
      <c r="P20" s="47"/>
      <c r="Q20" s="47"/>
      <c r="R20" s="48"/>
      <c r="S20" s="14"/>
      <c r="T20" s="14"/>
      <c r="U20" s="15"/>
      <c r="AA20" s="36">
        <f>AA12-AA14</f>
        <v>74.252604596727565</v>
      </c>
      <c r="AB20" s="13" t="s">
        <v>83</v>
      </c>
      <c r="AD20" s="49"/>
      <c r="AG20" s="15"/>
      <c r="AH20" s="21"/>
      <c r="AI20" s="21" t="s">
        <v>79</v>
      </c>
      <c r="AJ20" s="45">
        <f>D20</f>
        <v>6</v>
      </c>
      <c r="AK20" s="15" t="s">
        <v>80</v>
      </c>
      <c r="AL20" s="15"/>
      <c r="AM20" s="15"/>
      <c r="AN20" s="272">
        <f>H20</f>
        <v>70</v>
      </c>
      <c r="AO20" s="230" t="s">
        <v>81</v>
      </c>
      <c r="AP20" s="89"/>
      <c r="AQ20" s="89"/>
    </row>
    <row r="21" spans="1:45" x14ac:dyDescent="0.25">
      <c r="A21" s="15"/>
      <c r="B21" s="15"/>
      <c r="C21" s="21"/>
      <c r="D21" s="18"/>
      <c r="E21" s="15"/>
      <c r="F21" s="15"/>
      <c r="G21" s="15"/>
      <c r="H21" s="15"/>
      <c r="I21" s="15"/>
      <c r="J21" s="15"/>
      <c r="K21" s="15"/>
      <c r="L21" s="15"/>
      <c r="M21" s="14"/>
      <c r="N21" s="9"/>
      <c r="O21" s="50"/>
      <c r="P21" s="14"/>
      <c r="Q21" s="14"/>
      <c r="R21" s="14"/>
      <c r="S21" s="14"/>
      <c r="T21" s="14"/>
      <c r="U21" s="15"/>
      <c r="AA21" s="51">
        <f>AS32-AA14</f>
        <v>54.21585865880752</v>
      </c>
      <c r="AB21" s="13" t="s">
        <v>84</v>
      </c>
      <c r="AG21" s="15"/>
      <c r="AH21" s="15"/>
      <c r="AI21" s="21"/>
      <c r="AJ21" s="18"/>
      <c r="AK21" s="15"/>
      <c r="AL21" s="15"/>
      <c r="AM21" s="15"/>
      <c r="AN21" s="15"/>
      <c r="AO21" s="15"/>
      <c r="AP21" s="15"/>
      <c r="AQ21" s="15"/>
    </row>
    <row r="22" spans="1:45" ht="30.75" thickBot="1" x14ac:dyDescent="0.25">
      <c r="A22" s="15"/>
      <c r="B22" s="15"/>
      <c r="C22" s="243" t="s">
        <v>85</v>
      </c>
      <c r="D22" s="244"/>
      <c r="E22" s="52" t="s">
        <v>86</v>
      </c>
      <c r="F22" s="52" t="s">
        <v>87</v>
      </c>
      <c r="G22" s="53" t="s">
        <v>88</v>
      </c>
      <c r="H22" s="19"/>
      <c r="I22" s="52" t="s">
        <v>89</v>
      </c>
      <c r="J22" s="19"/>
      <c r="K22" s="54" t="s">
        <v>90</v>
      </c>
      <c r="L22" s="15"/>
      <c r="M22" s="14"/>
      <c r="N22" s="55"/>
      <c r="O22" s="14"/>
      <c r="P22" s="14"/>
      <c r="Q22" s="14"/>
      <c r="R22" s="14"/>
      <c r="S22" s="14"/>
      <c r="T22" s="14"/>
      <c r="U22" s="15"/>
      <c r="AG22" s="15"/>
      <c r="AH22" s="15"/>
      <c r="AI22" s="243" t="s">
        <v>85</v>
      </c>
      <c r="AJ22" s="244"/>
      <c r="AK22" s="52" t="s">
        <v>86</v>
      </c>
      <c r="AL22" s="52" t="s">
        <v>87</v>
      </c>
      <c r="AM22" s="53" t="s">
        <v>88</v>
      </c>
      <c r="AN22" s="19"/>
      <c r="AO22" s="52" t="s">
        <v>89</v>
      </c>
      <c r="AP22" s="19"/>
      <c r="AQ22" s="54" t="s">
        <v>90</v>
      </c>
    </row>
    <row r="23" spans="1:45" ht="16.5" thickBot="1" x14ac:dyDescent="0.3">
      <c r="A23" s="56" t="s">
        <v>91</v>
      </c>
      <c r="B23" s="15"/>
      <c r="C23" s="15"/>
      <c r="D23" s="18"/>
      <c r="E23" s="57"/>
      <c r="F23" s="57"/>
      <c r="G23" s="21"/>
      <c r="H23" s="15"/>
      <c r="I23" s="15"/>
      <c r="J23" s="15"/>
      <c r="K23" s="15"/>
      <c r="L23" s="15"/>
      <c r="M23" s="14"/>
      <c r="N23" s="10">
        <f>AA21</f>
        <v>54.21585865880752</v>
      </c>
      <c r="O23" s="58" t="s">
        <v>92</v>
      </c>
      <c r="P23" s="47"/>
      <c r="Q23" s="47"/>
      <c r="R23" s="48"/>
      <c r="S23" s="14"/>
      <c r="T23" s="14"/>
      <c r="U23" s="15"/>
      <c r="AG23" s="56" t="s">
        <v>91</v>
      </c>
      <c r="AH23" s="15"/>
      <c r="AI23" s="15"/>
      <c r="AJ23" s="18"/>
      <c r="AK23" s="57"/>
      <c r="AL23" s="57"/>
      <c r="AM23" s="21"/>
      <c r="AN23" s="15"/>
      <c r="AO23" s="15"/>
      <c r="AP23" s="15"/>
      <c r="AQ23" s="15"/>
    </row>
    <row r="24" spans="1:45" x14ac:dyDescent="0.25">
      <c r="A24" s="15"/>
      <c r="B24" s="15"/>
      <c r="C24" s="21" t="s">
        <v>93</v>
      </c>
      <c r="D24" s="59">
        <v>0</v>
      </c>
      <c r="E24" s="60"/>
      <c r="F24" s="60" t="s">
        <v>94</v>
      </c>
      <c r="G24" s="292">
        <v>405</v>
      </c>
      <c r="H24" s="15"/>
      <c r="I24" s="15"/>
      <c r="J24" s="15"/>
      <c r="K24" s="62">
        <f>D24*G24</f>
        <v>0</v>
      </c>
      <c r="L24" s="15"/>
      <c r="M24" s="14"/>
      <c r="N24" s="14"/>
      <c r="O24" s="63"/>
      <c r="P24" s="63"/>
      <c r="Q24" s="63"/>
      <c r="R24" s="14"/>
      <c r="S24" s="14"/>
      <c r="T24" s="14"/>
      <c r="U24" s="15"/>
      <c r="AG24" s="15"/>
      <c r="AH24" s="15"/>
      <c r="AI24" s="21" t="s">
        <v>93</v>
      </c>
      <c r="AJ24" s="59">
        <f>D24</f>
        <v>0</v>
      </c>
      <c r="AK24" s="60"/>
      <c r="AL24" s="60" t="s">
        <v>94</v>
      </c>
      <c r="AM24" s="61">
        <f>G24</f>
        <v>405</v>
      </c>
      <c r="AN24" s="15"/>
      <c r="AO24" s="15"/>
      <c r="AP24" s="15"/>
      <c r="AQ24" s="62">
        <f>AJ24*AM24</f>
        <v>0</v>
      </c>
    </row>
    <row r="25" spans="1:45" x14ac:dyDescent="0.25">
      <c r="A25" s="15"/>
      <c r="B25" s="15"/>
      <c r="C25" s="21" t="s">
        <v>95</v>
      </c>
      <c r="D25" s="59">
        <v>0</v>
      </c>
      <c r="E25" s="64"/>
      <c r="F25" s="60" t="s">
        <v>94</v>
      </c>
      <c r="G25" s="292">
        <v>305</v>
      </c>
      <c r="H25" s="15"/>
      <c r="I25" s="15"/>
      <c r="J25" s="15"/>
      <c r="K25" s="62">
        <f>D25*G25</f>
        <v>0</v>
      </c>
      <c r="L25" s="15"/>
      <c r="M25" s="14"/>
      <c r="N25" s="14"/>
      <c r="O25" s="14"/>
      <c r="P25" s="14"/>
      <c r="Q25" s="14"/>
      <c r="R25" s="14"/>
      <c r="S25" s="14"/>
      <c r="T25" s="14"/>
      <c r="U25" s="15"/>
      <c r="AG25" s="15"/>
      <c r="AH25" s="15"/>
      <c r="AI25" s="21" t="s">
        <v>95</v>
      </c>
      <c r="AJ25" s="59">
        <f>D25</f>
        <v>0</v>
      </c>
      <c r="AK25" s="64"/>
      <c r="AL25" s="60" t="s">
        <v>94</v>
      </c>
      <c r="AM25" s="61">
        <f>G25</f>
        <v>305</v>
      </c>
      <c r="AN25" s="15"/>
      <c r="AO25" s="15"/>
      <c r="AP25" s="15"/>
      <c r="AQ25" s="62">
        <f>AJ25*AM25</f>
        <v>0</v>
      </c>
    </row>
    <row r="26" spans="1:45" x14ac:dyDescent="0.25">
      <c r="A26" s="15"/>
      <c r="B26" s="15"/>
      <c r="C26" s="21" t="s">
        <v>96</v>
      </c>
      <c r="D26" s="65">
        <f>(H17-(D24+D25))*H18</f>
        <v>502.8</v>
      </c>
      <c r="E26" s="66">
        <f>D18*0.94</f>
        <v>65.8</v>
      </c>
      <c r="F26" s="60"/>
      <c r="G26" s="295">
        <v>3.02</v>
      </c>
      <c r="H26" s="15"/>
      <c r="I26" s="15"/>
      <c r="J26" s="15"/>
      <c r="K26" s="62">
        <f>D26*E26*G26</f>
        <v>99914.404799999989</v>
      </c>
      <c r="L26" s="15"/>
      <c r="M26" s="14"/>
      <c r="N26" s="14"/>
      <c r="O26" s="14"/>
      <c r="P26" s="14"/>
      <c r="Q26" s="14"/>
      <c r="R26" s="14"/>
      <c r="S26" s="14"/>
      <c r="T26" s="14"/>
      <c r="U26" s="15"/>
      <c r="AA26" s="13">
        <f>K24/$D$6</f>
        <v>0</v>
      </c>
      <c r="AB26" s="13" t="s">
        <v>97</v>
      </c>
      <c r="AG26" s="15"/>
      <c r="AH26" s="15"/>
      <c r="AI26" s="21" t="s">
        <v>96</v>
      </c>
      <c r="AJ26" s="65">
        <f>(AN17-(AJ24+AJ25))*AN18</f>
        <v>502.8</v>
      </c>
      <c r="AK26" s="66">
        <f>AJ18*0.94</f>
        <v>65.8</v>
      </c>
      <c r="AL26" s="60"/>
      <c r="AM26" s="277">
        <f>T12</f>
        <v>3.02</v>
      </c>
      <c r="AN26" s="15"/>
      <c r="AO26" s="15"/>
      <c r="AP26" s="15"/>
      <c r="AQ26" s="62">
        <f>AJ26*AK26*AM26</f>
        <v>99914.404799999989</v>
      </c>
    </row>
    <row r="27" spans="1:45" x14ac:dyDescent="0.25">
      <c r="A27" s="15"/>
      <c r="B27" s="15"/>
      <c r="C27" s="21" t="s">
        <v>98</v>
      </c>
      <c r="D27" s="67">
        <f>(H17 - (D24+D25))*(1-H18)</f>
        <v>754.19999999999993</v>
      </c>
      <c r="E27" s="66">
        <f>D19*0.94</f>
        <v>86.47999999999999</v>
      </c>
      <c r="F27" s="60"/>
      <c r="G27" s="293">
        <v>2.74</v>
      </c>
      <c r="H27" s="15"/>
      <c r="I27" s="15"/>
      <c r="J27" s="15"/>
      <c r="K27" s="62">
        <f>D27*E27*G27</f>
        <v>178711.61183999997</v>
      </c>
      <c r="L27" s="71"/>
      <c r="M27" s="14"/>
      <c r="N27" s="14"/>
      <c r="O27" s="14"/>
      <c r="P27" s="14"/>
      <c r="Q27" s="14"/>
      <c r="R27" s="14"/>
      <c r="S27" s="14"/>
      <c r="T27" s="14"/>
      <c r="U27" s="15"/>
      <c r="AA27" s="13">
        <f>K25/$D$6</f>
        <v>0</v>
      </c>
      <c r="AB27" s="13" t="s">
        <v>99</v>
      </c>
      <c r="AG27" s="15"/>
      <c r="AH27" s="15"/>
      <c r="AI27" s="21" t="s">
        <v>98</v>
      </c>
      <c r="AJ27" s="67">
        <f>(AN17 - (AJ24+AJ25))*(1-AN18)</f>
        <v>754.19999999999993</v>
      </c>
      <c r="AK27" s="66">
        <f>AJ19*0.94</f>
        <v>86.47999999999999</v>
      </c>
      <c r="AL27" s="60"/>
      <c r="AM27" s="261">
        <f>T13</f>
        <v>2.74</v>
      </c>
      <c r="AN27" s="15"/>
      <c r="AO27" s="15"/>
      <c r="AP27" s="15"/>
      <c r="AQ27" s="62">
        <f>AJ27*AK27*AM27</f>
        <v>178711.61183999997</v>
      </c>
    </row>
    <row r="28" spans="1:45" x14ac:dyDescent="0.25">
      <c r="A28" s="15"/>
      <c r="B28" s="15"/>
      <c r="C28" s="21" t="s">
        <v>100</v>
      </c>
      <c r="D28" s="40">
        <f>D6*D7</f>
        <v>150</v>
      </c>
      <c r="E28" s="68">
        <v>140</v>
      </c>
      <c r="F28" s="60" t="s">
        <v>75</v>
      </c>
      <c r="G28" s="293">
        <v>1.53</v>
      </c>
      <c r="H28" s="15"/>
      <c r="I28" s="15"/>
      <c r="J28" s="15"/>
      <c r="K28" s="62">
        <f>D28*E28*G28</f>
        <v>32130</v>
      </c>
      <c r="L28" s="15"/>
      <c r="M28" s="14"/>
      <c r="N28" s="14"/>
      <c r="O28" s="14"/>
      <c r="P28" s="14"/>
      <c r="Q28" s="14"/>
      <c r="R28" s="14"/>
      <c r="S28" s="14"/>
      <c r="T28" s="14"/>
      <c r="U28" s="15"/>
      <c r="AG28" s="15"/>
      <c r="AH28" s="15"/>
      <c r="AI28" s="21" t="s">
        <v>100</v>
      </c>
      <c r="AJ28" s="40">
        <f>AJ6*AJ7</f>
        <v>150</v>
      </c>
      <c r="AK28" s="68">
        <f>E28</f>
        <v>140</v>
      </c>
      <c r="AL28" s="60" t="s">
        <v>75</v>
      </c>
      <c r="AM28" s="261">
        <f>G28</f>
        <v>1.53</v>
      </c>
      <c r="AN28" s="15"/>
      <c r="AO28" s="15"/>
      <c r="AP28" s="15"/>
      <c r="AQ28" s="62">
        <f>AJ28*AK28*AM28</f>
        <v>32130</v>
      </c>
    </row>
    <row r="29" spans="1:45" x14ac:dyDescent="0.25">
      <c r="A29" s="15"/>
      <c r="B29" s="15"/>
      <c r="C29" s="21" t="s">
        <v>101</v>
      </c>
      <c r="D29" s="40">
        <f>D6/100*H6*H7</f>
        <v>4</v>
      </c>
      <c r="E29" s="68">
        <v>200</v>
      </c>
      <c r="F29" s="60" t="s">
        <v>75</v>
      </c>
      <c r="G29" s="293">
        <v>1.53</v>
      </c>
      <c r="H29" s="15"/>
      <c r="I29" s="15"/>
      <c r="J29" s="15"/>
      <c r="K29" s="62">
        <f>D29*E29*G29</f>
        <v>1224</v>
      </c>
      <c r="L29" s="15"/>
      <c r="M29" s="274"/>
      <c r="N29" s="14"/>
      <c r="O29" s="14"/>
      <c r="P29" s="14"/>
      <c r="Q29" s="14"/>
      <c r="R29" s="14"/>
      <c r="S29" s="14"/>
      <c r="T29" s="14"/>
      <c r="U29" s="15"/>
      <c r="AG29" s="15"/>
      <c r="AH29" s="15"/>
      <c r="AI29" s="21" t="s">
        <v>101</v>
      </c>
      <c r="AJ29" s="40">
        <f>AJ6/100*AN6*AN7</f>
        <v>4</v>
      </c>
      <c r="AK29" s="68">
        <f>E29</f>
        <v>200</v>
      </c>
      <c r="AL29" s="60" t="s">
        <v>75</v>
      </c>
      <c r="AM29" s="261">
        <f>G29</f>
        <v>1.53</v>
      </c>
      <c r="AN29" s="15"/>
      <c r="AO29" s="15"/>
      <c r="AP29" s="15"/>
      <c r="AQ29" s="62">
        <f>AJ29*AK29*AM29</f>
        <v>1224</v>
      </c>
    </row>
    <row r="30" spans="1:45" x14ac:dyDescent="0.25">
      <c r="A30" s="15"/>
      <c r="B30" s="15"/>
      <c r="C30" s="21" t="s">
        <v>102</v>
      </c>
      <c r="D30" s="69">
        <v>6.5</v>
      </c>
      <c r="E30" s="70" t="s">
        <v>103</v>
      </c>
      <c r="F30" s="60" t="s">
        <v>75</v>
      </c>
      <c r="G30" s="293">
        <v>0.2</v>
      </c>
      <c r="H30" s="15"/>
      <c r="I30" s="15"/>
      <c r="J30" s="15"/>
      <c r="K30" s="71">
        <f>((D6-(D6*D8)+(D6/100*H6-D6/100*H6*H8)))*D30*G30</f>
        <v>1284.4000000000001</v>
      </c>
      <c r="L30" s="15"/>
      <c r="M30" s="14"/>
      <c r="N30" s="14"/>
      <c r="O30" s="14"/>
      <c r="P30" s="14"/>
      <c r="Q30" s="14"/>
      <c r="R30" s="14"/>
      <c r="S30" s="14"/>
      <c r="T30" s="14"/>
      <c r="U30" s="15"/>
      <c r="AA30" s="13">
        <f>(K26+K27)/$D$6</f>
        <v>278.62601663999993</v>
      </c>
      <c r="AB30" s="13" t="s">
        <v>104</v>
      </c>
      <c r="AG30" s="15"/>
      <c r="AH30" s="15"/>
      <c r="AI30" s="21" t="s">
        <v>102</v>
      </c>
      <c r="AJ30" s="69">
        <f>D30</f>
        <v>6.5</v>
      </c>
      <c r="AK30" s="70" t="s">
        <v>103</v>
      </c>
      <c r="AL30" s="60" t="s">
        <v>75</v>
      </c>
      <c r="AM30" s="261">
        <f>G30</f>
        <v>0.2</v>
      </c>
      <c r="AN30" s="15"/>
      <c r="AO30" s="15"/>
      <c r="AP30" s="15"/>
      <c r="AQ30" s="71">
        <f>((AJ6-(AJ6*AJ8)+(AJ6/100*AN6-AJ6/100*AN6*AN8)))*AJ30*AM30</f>
        <v>1284.4000000000001</v>
      </c>
    </row>
    <row r="31" spans="1:45" x14ac:dyDescent="0.25">
      <c r="A31" s="15"/>
      <c r="B31" s="15"/>
      <c r="C31" s="21" t="s">
        <v>105</v>
      </c>
      <c r="D31" s="69">
        <v>3</v>
      </c>
      <c r="E31" s="72" t="s">
        <v>103</v>
      </c>
      <c r="F31" s="73" t="s">
        <v>75</v>
      </c>
      <c r="G31" s="293">
        <v>0.42</v>
      </c>
      <c r="H31" s="15"/>
      <c r="I31" s="15"/>
      <c r="J31" s="15"/>
      <c r="K31" s="71">
        <f>G31*D31*(H17+D25)*D17</f>
        <v>1187.865</v>
      </c>
      <c r="L31" s="15"/>
      <c r="M31" s="14"/>
      <c r="N31" s="14"/>
      <c r="O31" s="14"/>
      <c r="P31" s="14"/>
      <c r="Q31" s="14"/>
      <c r="R31" s="14"/>
      <c r="S31" s="14"/>
      <c r="T31" s="14"/>
      <c r="U31" s="15"/>
      <c r="AA31" s="13">
        <f t="shared" ref="AA31:AA36" si="0">K28/$D$6</f>
        <v>32.130000000000003</v>
      </c>
      <c r="AB31" s="13" t="s">
        <v>100</v>
      </c>
      <c r="AG31" s="15"/>
      <c r="AH31" s="15"/>
      <c r="AI31" s="21" t="s">
        <v>105</v>
      </c>
      <c r="AJ31" s="69">
        <f>D31</f>
        <v>3</v>
      </c>
      <c r="AK31" s="72" t="s">
        <v>103</v>
      </c>
      <c r="AL31" s="73" t="s">
        <v>75</v>
      </c>
      <c r="AM31" s="261">
        <f>G31</f>
        <v>0.42</v>
      </c>
      <c r="AN31" s="15"/>
      <c r="AO31" s="15"/>
      <c r="AP31" s="15"/>
      <c r="AQ31" s="71">
        <f>AM31*AJ31*(AN17+AJ25)*AJ17</f>
        <v>1187.865</v>
      </c>
    </row>
    <row r="32" spans="1:45" ht="16.5" thickBot="1" x14ac:dyDescent="0.3">
      <c r="A32" s="15"/>
      <c r="B32" s="15"/>
      <c r="C32" s="21"/>
      <c r="D32" s="18"/>
      <c r="E32" s="15"/>
      <c r="F32" s="15"/>
      <c r="G32" s="15"/>
      <c r="H32" s="15"/>
      <c r="I32" s="15"/>
      <c r="J32" s="15"/>
      <c r="K32" s="15"/>
      <c r="L32" s="15"/>
      <c r="M32" s="14"/>
      <c r="N32" s="14"/>
      <c r="O32" s="14"/>
      <c r="P32" s="14"/>
      <c r="Q32" s="14"/>
      <c r="R32" s="14"/>
      <c r="S32" s="14"/>
      <c r="T32" s="14"/>
      <c r="U32" s="15"/>
      <c r="AA32" s="13">
        <f t="shared" si="0"/>
        <v>1.224</v>
      </c>
      <c r="AB32" s="13" t="s">
        <v>101</v>
      </c>
      <c r="AR32" s="106">
        <f>SUM(AQ24:AQ31)</f>
        <v>314452.28163999994</v>
      </c>
      <c r="AS32" s="106">
        <f>AR32/D6</f>
        <v>314.45228163999997</v>
      </c>
    </row>
    <row r="33" spans="1:45" ht="16.5" thickBot="1" x14ac:dyDescent="0.3">
      <c r="A33" s="15"/>
      <c r="B33" s="15"/>
      <c r="C33" s="15"/>
      <c r="D33" s="74"/>
      <c r="E33" s="74"/>
      <c r="F33" s="248" t="s">
        <v>106</v>
      </c>
      <c r="G33" s="75"/>
      <c r="H33" s="75"/>
      <c r="I33" s="75"/>
      <c r="J33" s="75"/>
      <c r="K33" s="76">
        <f>SUM(K24:K31)</f>
        <v>314452.28163999994</v>
      </c>
      <c r="L33" s="15"/>
      <c r="M33" s="14"/>
      <c r="N33" s="14"/>
      <c r="O33" s="14"/>
      <c r="P33" s="14"/>
      <c r="Q33" s="14"/>
      <c r="R33" s="14"/>
      <c r="S33" s="14"/>
      <c r="T33" s="14"/>
      <c r="U33" s="15"/>
      <c r="AA33" s="13">
        <f t="shared" si="0"/>
        <v>1.2844</v>
      </c>
      <c r="AB33" s="13" t="s">
        <v>102</v>
      </c>
      <c r="AG33" s="15"/>
      <c r="AH33" s="15"/>
      <c r="AI33" s="15"/>
      <c r="AJ33" s="74"/>
      <c r="AK33" s="74"/>
      <c r="AL33" s="248" t="s">
        <v>106</v>
      </c>
      <c r="AM33" s="75"/>
      <c r="AN33" s="75"/>
      <c r="AO33" s="75"/>
      <c r="AP33" s="75"/>
      <c r="AQ33" s="76">
        <f>SUM(AQ24:AQ31)</f>
        <v>314452.28163999994</v>
      </c>
    </row>
    <row r="34" spans="1:45" ht="15" x14ac:dyDescent="0.2">
      <c r="A34" s="15"/>
      <c r="B34" s="15"/>
      <c r="C34" s="32"/>
      <c r="D34" s="32"/>
      <c r="E34" s="32"/>
      <c r="F34" s="32"/>
      <c r="G34" s="32"/>
      <c r="H34" s="32"/>
      <c r="I34" s="32"/>
      <c r="J34" s="32"/>
      <c r="K34" s="32"/>
      <c r="L34" s="15"/>
      <c r="M34" s="14"/>
      <c r="N34" s="14"/>
      <c r="AA34" s="13">
        <f t="shared" si="0"/>
        <v>1.1878649999999999</v>
      </c>
      <c r="AB34" s="13" t="s">
        <v>105</v>
      </c>
    </row>
    <row r="35" spans="1:45" ht="18" customHeight="1" x14ac:dyDescent="0.25">
      <c r="A35" s="56" t="s">
        <v>107</v>
      </c>
      <c r="B35" s="15"/>
      <c r="C35" s="15"/>
      <c r="D35" s="18"/>
      <c r="E35" s="15"/>
      <c r="F35" s="15"/>
      <c r="G35" s="74"/>
      <c r="H35" s="74"/>
      <c r="I35" s="74"/>
      <c r="J35" s="74"/>
      <c r="K35" s="15"/>
      <c r="L35" s="15"/>
      <c r="M35" s="14"/>
      <c r="N35" s="14"/>
      <c r="AA35" s="13">
        <f t="shared" si="0"/>
        <v>0</v>
      </c>
      <c r="AG35" s="56" t="s">
        <v>107</v>
      </c>
      <c r="AH35" s="15"/>
      <c r="AI35" s="15"/>
      <c r="AJ35" s="18"/>
      <c r="AK35" s="15"/>
      <c r="AL35" s="15"/>
      <c r="AM35" s="74"/>
      <c r="AN35" s="74"/>
      <c r="AO35" s="74"/>
      <c r="AP35" s="74"/>
      <c r="AQ35" s="15"/>
      <c r="AR35" s="15"/>
      <c r="AS35" s="14"/>
    </row>
    <row r="36" spans="1:45" x14ac:dyDescent="0.25">
      <c r="A36" s="56"/>
      <c r="B36" s="15" t="s">
        <v>108</v>
      </c>
      <c r="C36" s="15"/>
      <c r="D36" s="59">
        <v>0</v>
      </c>
      <c r="E36" s="77"/>
      <c r="F36" s="78" t="s">
        <v>94</v>
      </c>
      <c r="G36" s="61">
        <v>305</v>
      </c>
      <c r="H36" s="15"/>
      <c r="I36" s="15"/>
      <c r="J36" s="15"/>
      <c r="K36" s="79">
        <f>G36*D36</f>
        <v>0</v>
      </c>
      <c r="L36" s="15"/>
      <c r="M36" s="14"/>
      <c r="N36" s="14"/>
      <c r="AA36" s="13">
        <f t="shared" si="0"/>
        <v>314.45228163999997</v>
      </c>
      <c r="AB36" s="13" t="s">
        <v>109</v>
      </c>
      <c r="AG36" s="56"/>
      <c r="AH36" s="15" t="s">
        <v>108</v>
      </c>
      <c r="AI36" s="15"/>
      <c r="AJ36" s="59">
        <f>D36</f>
        <v>0</v>
      </c>
      <c r="AK36" s="77"/>
      <c r="AL36" s="78" t="s">
        <v>94</v>
      </c>
      <c r="AM36" s="61">
        <f>G36</f>
        <v>305</v>
      </c>
      <c r="AN36" s="15"/>
      <c r="AO36" s="15"/>
      <c r="AP36" s="15"/>
      <c r="AQ36" s="79">
        <f>AM36*AJ36</f>
        <v>0</v>
      </c>
      <c r="AR36" s="15"/>
      <c r="AS36" s="14"/>
    </row>
    <row r="37" spans="1:45" ht="15.6" customHeight="1" x14ac:dyDescent="0.25">
      <c r="A37" s="56"/>
      <c r="B37" s="15" t="s">
        <v>110</v>
      </c>
      <c r="C37" s="15"/>
      <c r="D37" s="22">
        <v>4</v>
      </c>
      <c r="E37" s="77"/>
      <c r="F37" s="78" t="s">
        <v>94</v>
      </c>
      <c r="G37" s="61">
        <v>700</v>
      </c>
      <c r="H37" s="15"/>
      <c r="I37" s="15"/>
      <c r="J37" s="15"/>
      <c r="K37" s="79">
        <f>G37*D37</f>
        <v>2800</v>
      </c>
      <c r="L37" s="15"/>
      <c r="M37" s="14"/>
      <c r="N37" s="14"/>
      <c r="AG37" s="56"/>
      <c r="AH37" s="15" t="s">
        <v>110</v>
      </c>
      <c r="AI37" s="15"/>
      <c r="AJ37" s="22">
        <f>D37</f>
        <v>4</v>
      </c>
      <c r="AK37" s="77"/>
      <c r="AL37" s="78" t="s">
        <v>94</v>
      </c>
      <c r="AM37" s="61">
        <f>G37</f>
        <v>700</v>
      </c>
      <c r="AN37" s="15"/>
      <c r="AO37" s="15"/>
      <c r="AP37" s="15"/>
      <c r="AQ37" s="79">
        <f>AM37*AJ37</f>
        <v>2800</v>
      </c>
      <c r="AR37" s="15"/>
      <c r="AS37" s="14"/>
    </row>
    <row r="38" spans="1:45" x14ac:dyDescent="0.25">
      <c r="A38" s="56"/>
      <c r="B38" s="15"/>
      <c r="C38" s="15"/>
      <c r="D38" s="18"/>
      <c r="E38" s="15"/>
      <c r="F38" s="15"/>
      <c r="G38" s="74"/>
      <c r="H38" s="74"/>
      <c r="I38" s="74"/>
      <c r="J38" s="74"/>
      <c r="K38" s="15"/>
      <c r="L38" s="15"/>
      <c r="M38" s="14"/>
      <c r="N38" s="14"/>
      <c r="AG38" s="56"/>
      <c r="AH38" s="15"/>
      <c r="AI38" s="15"/>
      <c r="AJ38" s="18"/>
      <c r="AK38" s="15"/>
      <c r="AL38" s="15"/>
      <c r="AM38" s="74"/>
      <c r="AN38" s="74"/>
      <c r="AO38" s="74"/>
      <c r="AP38" s="74"/>
      <c r="AQ38" s="15"/>
      <c r="AR38" s="15"/>
      <c r="AS38" s="14"/>
    </row>
    <row r="39" spans="1:45" x14ac:dyDescent="0.25">
      <c r="A39" s="15"/>
      <c r="B39" s="89" t="s">
        <v>111</v>
      </c>
      <c r="C39" s="89"/>
      <c r="D39" s="18"/>
      <c r="E39" s="15"/>
      <c r="F39" s="15"/>
      <c r="G39" s="15"/>
      <c r="H39" s="15"/>
      <c r="I39" s="80"/>
      <c r="J39" s="15"/>
      <c r="K39" s="15"/>
      <c r="L39" s="15"/>
      <c r="M39" s="14"/>
      <c r="N39" s="14"/>
      <c r="AA39" s="81">
        <f>K36/$D$6</f>
        <v>0</v>
      </c>
      <c r="AB39" s="13" t="s">
        <v>108</v>
      </c>
      <c r="AG39" s="15"/>
      <c r="AH39" s="89" t="s">
        <v>111</v>
      </c>
      <c r="AI39" s="89"/>
      <c r="AJ39" s="18"/>
      <c r="AK39" s="15"/>
      <c r="AL39" s="15"/>
      <c r="AM39" s="15"/>
      <c r="AN39" s="15"/>
      <c r="AO39" s="80"/>
      <c r="AP39" s="15"/>
      <c r="AQ39" s="15"/>
      <c r="AR39" s="15"/>
      <c r="AS39" s="14"/>
    </row>
    <row r="40" spans="1:45" ht="15" x14ac:dyDescent="0.2">
      <c r="A40" s="15"/>
      <c r="B40" s="82" t="s">
        <v>112</v>
      </c>
      <c r="C40" s="15"/>
      <c r="D40" s="21"/>
      <c r="E40" s="21" t="s">
        <v>113</v>
      </c>
      <c r="F40" s="15"/>
      <c r="G40" s="15"/>
      <c r="H40" s="15"/>
      <c r="I40" s="15" t="s">
        <v>114</v>
      </c>
      <c r="J40" s="15"/>
      <c r="K40" s="15"/>
      <c r="L40" s="15"/>
      <c r="M40" s="14"/>
      <c r="N40" s="14"/>
      <c r="AA40" s="81">
        <f>K37/$D$6</f>
        <v>2.8</v>
      </c>
      <c r="AB40" s="13" t="s">
        <v>110</v>
      </c>
      <c r="AG40" s="15"/>
      <c r="AH40" s="82" t="s">
        <v>112</v>
      </c>
      <c r="AI40" s="15"/>
      <c r="AJ40" s="21"/>
      <c r="AK40" s="21" t="s">
        <v>113</v>
      </c>
      <c r="AL40" s="15"/>
      <c r="AM40" s="15"/>
      <c r="AN40" s="15"/>
      <c r="AO40" s="15" t="s">
        <v>114</v>
      </c>
      <c r="AP40" s="15"/>
      <c r="AQ40" s="15"/>
      <c r="AR40" s="15"/>
      <c r="AS40" s="14"/>
    </row>
    <row r="41" spans="1:45" x14ac:dyDescent="0.25">
      <c r="A41" s="15"/>
      <c r="B41" s="15"/>
      <c r="C41" s="15" t="str">
        <f>E152</f>
        <v>Mixed Hay</v>
      </c>
      <c r="D41" s="18"/>
      <c r="E41" s="29">
        <v>0.05</v>
      </c>
      <c r="F41" s="21" t="s">
        <v>115</v>
      </c>
      <c r="G41" s="83">
        <v>170</v>
      </c>
      <c r="H41" s="15"/>
      <c r="I41" s="84">
        <f>((1+E41)*D152*$D$20*($D$19-$H$20)*(((1-$H$18)*$H$17)+$D$10+$H$9))/2205</f>
        <v>2.9360571428571434</v>
      </c>
      <c r="J41" s="15"/>
      <c r="K41" s="85">
        <f t="shared" ref="K41:K51" si="1">I41*G41</f>
        <v>499.12971428571439</v>
      </c>
      <c r="L41" s="15"/>
      <c r="M41" s="14"/>
      <c r="N41" s="14"/>
      <c r="AA41" s="13">
        <f>K41/$D$6</f>
        <v>0.4991297142857144</v>
      </c>
      <c r="AB41" s="13" t="s">
        <v>116</v>
      </c>
      <c r="AG41" s="15"/>
      <c r="AH41" s="15"/>
      <c r="AI41" s="15" t="str">
        <f>AK152</f>
        <v>Mixed Hay</v>
      </c>
      <c r="AJ41" s="18"/>
      <c r="AK41" s="29">
        <f t="shared" ref="AK41:AK51" si="2">E41</f>
        <v>0.05</v>
      </c>
      <c r="AL41" s="15" t="s">
        <v>115</v>
      </c>
      <c r="AM41" s="83">
        <f t="shared" ref="AM41:AM51" si="3">G41</f>
        <v>170</v>
      </c>
      <c r="AN41" s="15"/>
      <c r="AO41" s="84">
        <f t="shared" ref="AO41:AO50" si="4">((1+AK41)*AJ152*$AJ$20*($AJ$19-$AN$20)*(((1-$AN$18)*$AN$17)+$AJ$10+$AN$9))/2205</f>
        <v>2.9360571428571434</v>
      </c>
      <c r="AP41" s="15"/>
      <c r="AQ41" s="85">
        <f t="shared" ref="AQ41:AQ51" si="5">AO41*AM41</f>
        <v>499.12971428571439</v>
      </c>
      <c r="AR41" s="15"/>
      <c r="AS41" s="14"/>
    </row>
    <row r="42" spans="1:45" x14ac:dyDescent="0.25">
      <c r="A42" s="15"/>
      <c r="B42" s="15"/>
      <c r="C42" s="15" t="str">
        <f>E153</f>
        <v>Alfalfa Hay</v>
      </c>
      <c r="D42" s="18"/>
      <c r="E42" s="29">
        <v>0.05</v>
      </c>
      <c r="F42" s="21" t="s">
        <v>115</v>
      </c>
      <c r="G42" s="83">
        <v>205</v>
      </c>
      <c r="H42" s="15"/>
      <c r="I42" s="84">
        <f t="shared" ref="I41:I50" si="6">((1+E42)*D153*$D$20*($D$19-$H$20)*(((1-$H$18)*$H$17)+$D$10+$H$9))/2205</f>
        <v>0</v>
      </c>
      <c r="J42" s="15"/>
      <c r="K42" s="85">
        <f t="shared" si="1"/>
        <v>0</v>
      </c>
      <c r="L42" s="15"/>
      <c r="M42" s="14"/>
      <c r="N42" s="14"/>
      <c r="AA42" s="13">
        <f>K42/$D$6</f>
        <v>0</v>
      </c>
      <c r="AB42" s="13" t="s">
        <v>117</v>
      </c>
      <c r="AG42" s="15"/>
      <c r="AH42" s="15"/>
      <c r="AI42" s="15" t="str">
        <f>AK153</f>
        <v>Alfalfa Hay</v>
      </c>
      <c r="AJ42" s="18"/>
      <c r="AK42" s="29">
        <f t="shared" si="2"/>
        <v>0.05</v>
      </c>
      <c r="AL42" s="15" t="s">
        <v>115</v>
      </c>
      <c r="AM42" s="83">
        <f t="shared" si="3"/>
        <v>205</v>
      </c>
      <c r="AN42" s="15"/>
      <c r="AO42" s="84">
        <f t="shared" si="4"/>
        <v>0</v>
      </c>
      <c r="AP42" s="15"/>
      <c r="AQ42" s="85">
        <f t="shared" si="5"/>
        <v>0</v>
      </c>
      <c r="AR42" s="15"/>
      <c r="AS42" s="14"/>
    </row>
    <row r="43" spans="1:45" x14ac:dyDescent="0.25">
      <c r="A43" s="15"/>
      <c r="B43" s="15"/>
      <c r="C43" s="15" t="s">
        <v>118</v>
      </c>
      <c r="D43" s="18"/>
      <c r="E43" s="29">
        <v>5.0000000000000001E-3</v>
      </c>
      <c r="F43" s="21"/>
      <c r="G43" s="83">
        <v>54</v>
      </c>
      <c r="H43" s="15"/>
      <c r="I43" s="84">
        <f t="shared" si="6"/>
        <v>0</v>
      </c>
      <c r="J43" s="15"/>
      <c r="K43" s="85">
        <f t="shared" si="1"/>
        <v>0</v>
      </c>
      <c r="L43" s="15"/>
      <c r="M43" s="14"/>
      <c r="N43" s="14"/>
      <c r="AA43" s="13">
        <f>K45/$D$6</f>
        <v>12.894385335722445</v>
      </c>
      <c r="AB43" s="13" t="s">
        <v>119</v>
      </c>
      <c r="AG43" s="15"/>
      <c r="AH43" s="15"/>
      <c r="AI43" s="15" t="s">
        <v>118</v>
      </c>
      <c r="AJ43" s="18"/>
      <c r="AK43" s="29">
        <f t="shared" si="2"/>
        <v>5.0000000000000001E-3</v>
      </c>
      <c r="AL43" s="15"/>
      <c r="AM43" s="83">
        <f t="shared" si="3"/>
        <v>54</v>
      </c>
      <c r="AN43" s="15"/>
      <c r="AO43" s="84">
        <f t="shared" si="4"/>
        <v>0</v>
      </c>
      <c r="AP43" s="15"/>
      <c r="AQ43" s="85">
        <f t="shared" si="5"/>
        <v>0</v>
      </c>
      <c r="AR43" s="15"/>
      <c r="AS43" s="14"/>
    </row>
    <row r="44" spans="1:45" x14ac:dyDescent="0.25">
      <c r="A44" s="15"/>
      <c r="B44" s="15"/>
      <c r="C44" s="15" t="str">
        <f>E155</f>
        <v>Haylage</v>
      </c>
      <c r="D44" s="18"/>
      <c r="E44" s="29">
        <v>5.0000000000000001E-3</v>
      </c>
      <c r="F44" s="21"/>
      <c r="G44" s="83">
        <v>102</v>
      </c>
      <c r="H44" s="15"/>
      <c r="I44" s="84">
        <f t="shared" si="6"/>
        <v>0</v>
      </c>
      <c r="J44" s="15"/>
      <c r="K44" s="85">
        <f t="shared" si="1"/>
        <v>0</v>
      </c>
      <c r="L44" s="15"/>
      <c r="M44" s="14"/>
      <c r="N44" s="14"/>
      <c r="AA44" s="13">
        <f>K46/$D$6</f>
        <v>0</v>
      </c>
      <c r="AB44" s="13" t="s">
        <v>120</v>
      </c>
      <c r="AG44" s="15"/>
      <c r="AH44" s="15"/>
      <c r="AI44" s="15" t="str">
        <f t="shared" ref="AI44:AI50" si="7">AK155</f>
        <v>Haylage</v>
      </c>
      <c r="AJ44" s="18"/>
      <c r="AK44" s="29">
        <f t="shared" si="2"/>
        <v>5.0000000000000001E-3</v>
      </c>
      <c r="AL44" s="15"/>
      <c r="AM44" s="83">
        <f t="shared" si="3"/>
        <v>102</v>
      </c>
      <c r="AN44" s="15"/>
      <c r="AO44" s="84">
        <f t="shared" si="4"/>
        <v>0</v>
      </c>
      <c r="AP44" s="15"/>
      <c r="AQ44" s="85">
        <f t="shared" si="5"/>
        <v>0</v>
      </c>
      <c r="AR44" s="15"/>
      <c r="AS44" s="14"/>
    </row>
    <row r="45" spans="1:45" x14ac:dyDescent="0.25">
      <c r="A45" s="15"/>
      <c r="B45" s="15"/>
      <c r="C45" s="15" t="str">
        <f t="shared" ref="C45:C50" si="8">E156</f>
        <v xml:space="preserve">Corn  </v>
      </c>
      <c r="D45" s="18"/>
      <c r="E45" s="29">
        <v>5.0000000000000001E-3</v>
      </c>
      <c r="F45" s="21" t="s">
        <v>115</v>
      </c>
      <c r="G45" s="83">
        <v>270</v>
      </c>
      <c r="H45" s="15"/>
      <c r="I45" s="84">
        <f t="shared" si="6"/>
        <v>47.756982724897945</v>
      </c>
      <c r="J45" s="15"/>
      <c r="K45" s="85">
        <f t="shared" si="1"/>
        <v>12894.385335722445</v>
      </c>
      <c r="L45" s="15"/>
      <c r="M45" s="14"/>
      <c r="N45" s="14"/>
      <c r="AA45" s="13">
        <f>K47/$D$6</f>
        <v>6.7277652244897954</v>
      </c>
      <c r="AB45" s="13" t="s">
        <v>121</v>
      </c>
      <c r="AG45" s="15"/>
      <c r="AH45" s="15"/>
      <c r="AI45" s="15" t="str">
        <f t="shared" si="7"/>
        <v xml:space="preserve">Corn  </v>
      </c>
      <c r="AJ45" s="18"/>
      <c r="AK45" s="29">
        <f t="shared" si="2"/>
        <v>5.0000000000000001E-3</v>
      </c>
      <c r="AL45" s="15" t="s">
        <v>115</v>
      </c>
      <c r="AM45" s="83">
        <f t="shared" si="3"/>
        <v>270</v>
      </c>
      <c r="AN45" s="15"/>
      <c r="AO45" s="84">
        <f t="shared" si="4"/>
        <v>47.756982724897945</v>
      </c>
      <c r="AP45" s="15"/>
      <c r="AQ45" s="85">
        <f t="shared" si="5"/>
        <v>12894.385335722445</v>
      </c>
      <c r="AR45" s="15"/>
      <c r="AS45" s="14"/>
    </row>
    <row r="46" spans="1:45" x14ac:dyDescent="0.25">
      <c r="A46" s="15"/>
      <c r="B46" s="15"/>
      <c r="C46" s="15" t="str">
        <f t="shared" si="8"/>
        <v>Barley</v>
      </c>
      <c r="D46" s="18"/>
      <c r="E46" s="86">
        <v>2.5000000000000001E-3</v>
      </c>
      <c r="F46" s="21" t="s">
        <v>115</v>
      </c>
      <c r="G46" s="83">
        <v>360</v>
      </c>
      <c r="H46" s="15"/>
      <c r="I46" s="84">
        <f t="shared" si="6"/>
        <v>0</v>
      </c>
      <c r="J46" s="15"/>
      <c r="K46" s="85">
        <f t="shared" si="1"/>
        <v>0</v>
      </c>
      <c r="L46" s="15"/>
      <c r="M46" s="14"/>
      <c r="N46" s="14"/>
      <c r="AG46" s="15"/>
      <c r="AH46" s="15"/>
      <c r="AI46" s="15" t="str">
        <f t="shared" si="7"/>
        <v>Barley</v>
      </c>
      <c r="AJ46" s="18"/>
      <c r="AK46" s="86">
        <f t="shared" si="2"/>
        <v>2.5000000000000001E-3</v>
      </c>
      <c r="AL46" s="15" t="s">
        <v>115</v>
      </c>
      <c r="AM46" s="83">
        <f t="shared" si="3"/>
        <v>360</v>
      </c>
      <c r="AN46" s="15"/>
      <c r="AO46" s="84">
        <f t="shared" si="4"/>
        <v>0</v>
      </c>
      <c r="AP46" s="15"/>
      <c r="AQ46" s="85">
        <f t="shared" si="5"/>
        <v>0</v>
      </c>
      <c r="AR46" s="15"/>
      <c r="AS46" s="14"/>
    </row>
    <row r="47" spans="1:45" x14ac:dyDescent="0.25">
      <c r="A47" s="15"/>
      <c r="B47" s="15"/>
      <c r="C47" s="15" t="str">
        <f>E158</f>
        <v>Protein Supplement Pellet</v>
      </c>
      <c r="D47" s="18"/>
      <c r="E47" s="87">
        <v>2.5000000000000001E-3</v>
      </c>
      <c r="F47" s="21" t="s">
        <v>115</v>
      </c>
      <c r="G47" s="83">
        <f>30/25*1000</f>
        <v>1200</v>
      </c>
      <c r="H47" s="15"/>
      <c r="I47" s="84">
        <f t="shared" si="6"/>
        <v>5.6064710204081631</v>
      </c>
      <c r="J47" s="15"/>
      <c r="K47" s="85">
        <f t="shared" si="1"/>
        <v>6727.7652244897954</v>
      </c>
      <c r="L47" s="15"/>
      <c r="M47" s="14"/>
      <c r="N47" s="14"/>
      <c r="AG47" s="15"/>
      <c r="AH47" s="15"/>
      <c r="AI47" s="15" t="str">
        <f t="shared" si="7"/>
        <v>Protein Supplement Pellet</v>
      </c>
      <c r="AJ47" s="18"/>
      <c r="AK47" s="87">
        <f t="shared" si="2"/>
        <v>2.5000000000000001E-3</v>
      </c>
      <c r="AL47" s="15" t="s">
        <v>115</v>
      </c>
      <c r="AM47" s="83">
        <f t="shared" si="3"/>
        <v>1200</v>
      </c>
      <c r="AN47" s="15"/>
      <c r="AO47" s="84">
        <f t="shared" si="4"/>
        <v>5.6064710204081631</v>
      </c>
      <c r="AP47" s="15"/>
      <c r="AQ47" s="85">
        <f t="shared" si="5"/>
        <v>6727.7652244897954</v>
      </c>
      <c r="AR47" s="15"/>
      <c r="AS47" s="14"/>
    </row>
    <row r="48" spans="1:45" x14ac:dyDescent="0.25">
      <c r="A48" s="15"/>
      <c r="B48" s="82"/>
      <c r="C48" s="15" t="str">
        <f t="shared" si="8"/>
        <v>Soybean meal</v>
      </c>
      <c r="D48" s="18"/>
      <c r="E48" s="86">
        <v>2.5000000000000001E-3</v>
      </c>
      <c r="F48" s="21" t="s">
        <v>115</v>
      </c>
      <c r="G48" s="83">
        <v>690</v>
      </c>
      <c r="H48" s="15"/>
      <c r="I48" s="84">
        <f t="shared" si="6"/>
        <v>0</v>
      </c>
      <c r="J48" s="15"/>
      <c r="K48" s="85">
        <f t="shared" si="1"/>
        <v>0</v>
      </c>
      <c r="L48" s="15"/>
      <c r="M48" s="14"/>
      <c r="N48" s="14"/>
      <c r="AA48" s="13">
        <f>K48/$D$6</f>
        <v>0</v>
      </c>
      <c r="AB48" s="13" t="s">
        <v>122</v>
      </c>
      <c r="AG48" s="15"/>
      <c r="AH48" s="82"/>
      <c r="AI48" s="15" t="str">
        <f t="shared" si="7"/>
        <v>Soybean meal</v>
      </c>
      <c r="AJ48" s="18"/>
      <c r="AK48" s="86">
        <f t="shared" si="2"/>
        <v>2.5000000000000001E-3</v>
      </c>
      <c r="AL48" s="15" t="s">
        <v>115</v>
      </c>
      <c r="AM48" s="83">
        <f t="shared" si="3"/>
        <v>690</v>
      </c>
      <c r="AN48" s="15"/>
      <c r="AO48" s="84">
        <f t="shared" si="4"/>
        <v>0</v>
      </c>
      <c r="AP48" s="15"/>
      <c r="AQ48" s="85">
        <f t="shared" si="5"/>
        <v>0</v>
      </c>
      <c r="AR48" s="15"/>
      <c r="AS48" s="14"/>
    </row>
    <row r="49" spans="1:45" x14ac:dyDescent="0.25">
      <c r="A49" s="15"/>
      <c r="B49" s="15"/>
      <c r="C49" s="15" t="str">
        <f t="shared" si="8"/>
        <v>Salt</v>
      </c>
      <c r="D49" s="18"/>
      <c r="E49" s="29">
        <v>0</v>
      </c>
      <c r="F49" s="21" t="s">
        <v>115</v>
      </c>
      <c r="G49" s="83">
        <f>0.5*1000</f>
        <v>500</v>
      </c>
      <c r="H49" s="15"/>
      <c r="I49" s="88">
        <f t="shared" si="6"/>
        <v>5.5924897959183676E-3</v>
      </c>
      <c r="J49" s="15"/>
      <c r="K49" s="85">
        <f t="shared" si="1"/>
        <v>2.7962448979591836</v>
      </c>
      <c r="L49" s="15"/>
      <c r="M49" s="14"/>
      <c r="N49" s="14"/>
      <c r="AA49" s="13">
        <f>K49/$D$6</f>
        <v>2.7962448979591838E-3</v>
      </c>
      <c r="AB49" s="13" t="s">
        <v>123</v>
      </c>
      <c r="AG49" s="15"/>
      <c r="AH49" s="15"/>
      <c r="AI49" s="15" t="str">
        <f t="shared" si="7"/>
        <v>Salt</v>
      </c>
      <c r="AJ49" s="18"/>
      <c r="AK49" s="29">
        <f t="shared" si="2"/>
        <v>0</v>
      </c>
      <c r="AL49" s="15" t="s">
        <v>115</v>
      </c>
      <c r="AM49" s="83">
        <f t="shared" si="3"/>
        <v>500</v>
      </c>
      <c r="AN49" s="15"/>
      <c r="AO49" s="88">
        <f t="shared" si="4"/>
        <v>5.5924897959183676E-3</v>
      </c>
      <c r="AP49" s="15"/>
      <c r="AQ49" s="85">
        <f t="shared" si="5"/>
        <v>2.7962448979591836</v>
      </c>
      <c r="AR49" s="15"/>
      <c r="AS49" s="14"/>
    </row>
    <row r="50" spans="1:45" x14ac:dyDescent="0.25">
      <c r="A50" s="15"/>
      <c r="B50" s="15"/>
      <c r="C50" s="89" t="str">
        <f t="shared" si="8"/>
        <v>Mineral</v>
      </c>
      <c r="D50" s="90"/>
      <c r="E50" s="29">
        <v>0</v>
      </c>
      <c r="F50" s="21" t="s">
        <v>115</v>
      </c>
      <c r="G50" s="83">
        <f>40/25*1000</f>
        <v>1600</v>
      </c>
      <c r="H50" s="15"/>
      <c r="I50" s="88">
        <f t="shared" si="6"/>
        <v>1.1184979591836735E-2</v>
      </c>
      <c r="J50" s="15"/>
      <c r="K50" s="85">
        <f t="shared" si="1"/>
        <v>17.895967346938775</v>
      </c>
      <c r="L50" s="15"/>
      <c r="M50" s="14"/>
      <c r="N50" s="14"/>
      <c r="AA50" s="13">
        <f>K50/$D$6</f>
        <v>1.7895967346938775E-2</v>
      </c>
      <c r="AB50" s="13" t="s">
        <v>124</v>
      </c>
      <c r="AG50" s="15"/>
      <c r="AH50" s="15"/>
      <c r="AI50" s="89" t="str">
        <f t="shared" si="7"/>
        <v>Mineral</v>
      </c>
      <c r="AJ50" s="90"/>
      <c r="AK50" s="29">
        <f t="shared" si="2"/>
        <v>0</v>
      </c>
      <c r="AL50" s="15" t="s">
        <v>115</v>
      </c>
      <c r="AM50" s="83">
        <f t="shared" si="3"/>
        <v>1600</v>
      </c>
      <c r="AN50" s="15"/>
      <c r="AO50" s="88">
        <f t="shared" si="4"/>
        <v>1.1184979591836735E-2</v>
      </c>
      <c r="AP50" s="15"/>
      <c r="AQ50" s="85">
        <f t="shared" si="5"/>
        <v>17.895967346938775</v>
      </c>
      <c r="AR50" s="15"/>
      <c r="AS50" s="14"/>
    </row>
    <row r="51" spans="1:45" x14ac:dyDescent="0.25">
      <c r="A51" s="15"/>
      <c r="B51" s="15"/>
      <c r="C51" s="89" t="s">
        <v>125</v>
      </c>
      <c r="D51" s="90"/>
      <c r="E51" s="29">
        <v>0</v>
      </c>
      <c r="F51" s="21" t="s">
        <v>115</v>
      </c>
      <c r="G51" s="83">
        <v>68</v>
      </c>
      <c r="H51" s="15"/>
      <c r="I51" s="88">
        <f>(H17+D10)*H19*2.72/2205</f>
        <v>99.267047619047631</v>
      </c>
      <c r="J51" s="15"/>
      <c r="K51" s="85">
        <f t="shared" si="1"/>
        <v>6750.1592380952388</v>
      </c>
      <c r="L51" s="15"/>
      <c r="M51" s="14"/>
      <c r="N51" s="14"/>
      <c r="AA51" s="13">
        <f>K52/$D$6</f>
        <v>0</v>
      </c>
      <c r="AB51" s="13" t="s">
        <v>125</v>
      </c>
      <c r="AG51" s="15"/>
      <c r="AH51" s="15"/>
      <c r="AI51" s="89" t="s">
        <v>125</v>
      </c>
      <c r="AJ51" s="90"/>
      <c r="AK51" s="29">
        <f t="shared" si="2"/>
        <v>0</v>
      </c>
      <c r="AL51" s="15" t="s">
        <v>115</v>
      </c>
      <c r="AM51" s="83">
        <f t="shared" si="3"/>
        <v>68</v>
      </c>
      <c r="AN51" s="15"/>
      <c r="AO51" s="88">
        <f>(AN17+AJ10)*AN19*2.72/2205</f>
        <v>99.267047619047631</v>
      </c>
      <c r="AP51" s="15"/>
      <c r="AQ51" s="85">
        <f t="shared" si="5"/>
        <v>6750.1592380952388</v>
      </c>
      <c r="AR51" s="15"/>
      <c r="AS51" s="14"/>
    </row>
    <row r="52" spans="1:45" x14ac:dyDescent="0.25">
      <c r="A52" s="15"/>
      <c r="B52" s="15"/>
      <c r="C52" s="15"/>
      <c r="D52" s="18"/>
      <c r="E52" s="91"/>
      <c r="F52" s="298"/>
      <c r="G52" s="15"/>
      <c r="H52" s="15"/>
      <c r="I52" s="84"/>
      <c r="J52" s="15"/>
      <c r="K52" s="85"/>
      <c r="L52" s="15"/>
      <c r="M52" s="276"/>
      <c r="N52" s="14"/>
      <c r="AA52" s="13">
        <f>K53/$D$6</f>
        <v>0</v>
      </c>
      <c r="AG52" s="15"/>
      <c r="AH52" s="15"/>
      <c r="AI52" s="15"/>
      <c r="AJ52" s="18"/>
      <c r="AK52" s="91"/>
      <c r="AL52" s="92"/>
      <c r="AM52" s="15"/>
      <c r="AN52" s="15"/>
      <c r="AO52" s="84"/>
      <c r="AP52" s="15"/>
      <c r="AQ52" s="85"/>
      <c r="AR52" s="15"/>
      <c r="AS52" s="276">
        <f>AQ41+AQ45+AQ47+AQ49+AQ50+AQ51</f>
        <v>26892.131724838095</v>
      </c>
    </row>
    <row r="53" spans="1:45" x14ac:dyDescent="0.25">
      <c r="A53" s="15"/>
      <c r="B53" s="82" t="s">
        <v>126</v>
      </c>
      <c r="C53" s="89"/>
      <c r="D53" s="18"/>
      <c r="E53" s="43"/>
      <c r="F53" s="21"/>
      <c r="G53" s="43"/>
      <c r="H53" s="15"/>
      <c r="I53" s="15"/>
      <c r="J53" s="15"/>
      <c r="K53" s="85"/>
      <c r="L53" s="15"/>
      <c r="M53" s="14"/>
      <c r="N53" s="14"/>
      <c r="W53" s="13" t="s">
        <v>127</v>
      </c>
      <c r="AA53" s="13">
        <f>K55/$D$6</f>
        <v>64.493304761904767</v>
      </c>
      <c r="AB53" s="13" t="s">
        <v>116</v>
      </c>
      <c r="AG53" s="15"/>
      <c r="AH53" s="82" t="s">
        <v>126</v>
      </c>
      <c r="AI53" s="89"/>
      <c r="AJ53" s="18"/>
      <c r="AK53" s="43"/>
      <c r="AL53" s="15"/>
      <c r="AM53" s="43"/>
      <c r="AN53" s="15"/>
      <c r="AO53" s="15"/>
      <c r="AP53" s="15"/>
      <c r="AQ53" s="85"/>
      <c r="AR53" s="15"/>
      <c r="AS53" s="14"/>
    </row>
    <row r="54" spans="1:45" x14ac:dyDescent="0.25">
      <c r="A54" s="266"/>
      <c r="B54" s="278"/>
      <c r="C54" s="279" t="s">
        <v>128</v>
      </c>
      <c r="D54" s="267"/>
      <c r="E54" s="43"/>
      <c r="F54" s="21"/>
      <c r="G54" s="43"/>
      <c r="H54" s="15"/>
      <c r="I54" s="15"/>
      <c r="J54" s="15"/>
      <c r="K54" s="85"/>
      <c r="L54" s="15"/>
      <c r="M54" s="14"/>
      <c r="N54" s="14"/>
      <c r="AG54" s="266"/>
      <c r="AH54" s="278"/>
      <c r="AI54" s="279" t="s">
        <v>128</v>
      </c>
      <c r="AJ54" s="267"/>
      <c r="AK54" s="43"/>
      <c r="AL54" s="15"/>
      <c r="AM54" s="43"/>
      <c r="AN54" s="15"/>
      <c r="AO54" s="15"/>
      <c r="AP54" s="15"/>
      <c r="AQ54" s="85"/>
      <c r="AR54" s="15"/>
      <c r="AS54" s="14"/>
    </row>
    <row r="55" spans="1:45" x14ac:dyDescent="0.25">
      <c r="A55" s="15"/>
      <c r="B55" s="15"/>
      <c r="C55" s="15" t="str">
        <f>C114</f>
        <v>Mixed Hay</v>
      </c>
      <c r="D55" s="18"/>
      <c r="E55" s="29">
        <v>0.05</v>
      </c>
      <c r="F55" s="21" t="s">
        <v>115</v>
      </c>
      <c r="G55" s="83">
        <f>G41</f>
        <v>170</v>
      </c>
      <c r="H55" s="15"/>
      <c r="I55" s="93">
        <f>(($L$108*L114)+($M$108*M114)+($L$129*L134)+($M$129*M134))*(1+E55)/2205</f>
        <v>379.37238095238098</v>
      </c>
      <c r="J55" s="15"/>
      <c r="K55" s="85">
        <f>I55*G55</f>
        <v>64493.304761904765</v>
      </c>
      <c r="L55" s="15"/>
      <c r="M55" s="14"/>
      <c r="N55" s="14"/>
      <c r="AA55" s="13">
        <f>K56/$D$6</f>
        <v>0</v>
      </c>
      <c r="AB55" s="13" t="s">
        <v>117</v>
      </c>
      <c r="AG55" s="15"/>
      <c r="AH55" s="15"/>
      <c r="AI55" s="15" t="str">
        <f>AI114</f>
        <v>Mixed Hay</v>
      </c>
      <c r="AJ55" s="18"/>
      <c r="AK55" s="29">
        <f>E55</f>
        <v>0.05</v>
      </c>
      <c r="AL55" s="15" t="s">
        <v>115</v>
      </c>
      <c r="AM55" s="83">
        <f>G55</f>
        <v>170</v>
      </c>
      <c r="AN55" s="15"/>
      <c r="AO55" s="93">
        <f>(($AR$108*AR114)+($AS$108*AS114)+($AR$129*AR134)+($AS$129*AS134))*(1+AK55)/2205</f>
        <v>379.37238095238098</v>
      </c>
      <c r="AP55" s="15"/>
      <c r="AQ55" s="85">
        <f>AO55*AM55</f>
        <v>64493.304761904765</v>
      </c>
      <c r="AR55" s="15"/>
      <c r="AS55" s="14"/>
    </row>
    <row r="56" spans="1:45" x14ac:dyDescent="0.25">
      <c r="A56" s="15"/>
      <c r="B56" s="15"/>
      <c r="C56" s="15" t="str">
        <f>C115</f>
        <v>Alfalfa Hay</v>
      </c>
      <c r="D56" s="18"/>
      <c r="E56" s="29">
        <v>0.05</v>
      </c>
      <c r="F56" s="21" t="s">
        <v>115</v>
      </c>
      <c r="G56" s="83">
        <f>G42</f>
        <v>205</v>
      </c>
      <c r="H56" s="15"/>
      <c r="I56" s="93">
        <f>(($L$108*L115)+($M$108*M115)+($L$129*L135)+($M$129*M135))*(1+E56)/2205</f>
        <v>0</v>
      </c>
      <c r="J56" s="15"/>
      <c r="K56" s="85">
        <f t="shared" ref="K56:K68" si="9">I56*G56</f>
        <v>0</v>
      </c>
      <c r="L56" s="15"/>
      <c r="M56" s="14"/>
      <c r="N56" s="14"/>
      <c r="AA56" s="13">
        <f>K60/$D$6</f>
        <v>10.617722448979592</v>
      </c>
      <c r="AB56" s="13" t="s">
        <v>129</v>
      </c>
      <c r="AG56" s="15"/>
      <c r="AH56" s="15"/>
      <c r="AI56" s="15" t="str">
        <f>AI115</f>
        <v>Alfalfa Hay</v>
      </c>
      <c r="AJ56" s="18"/>
      <c r="AK56" s="29">
        <f>E56</f>
        <v>0.05</v>
      </c>
      <c r="AL56" s="15" t="s">
        <v>115</v>
      </c>
      <c r="AM56" s="83">
        <f>G56</f>
        <v>205</v>
      </c>
      <c r="AN56" s="15"/>
      <c r="AO56" s="93">
        <f>(($AR$108*AR115)+($AS$108*AS115)+($AR$129*AR135)+($AS$129*AS135))*(1+AK56)/2205</f>
        <v>0</v>
      </c>
      <c r="AP56" s="15"/>
      <c r="AQ56" s="85">
        <f>AO56*AM56</f>
        <v>0</v>
      </c>
      <c r="AR56" s="15"/>
      <c r="AS56" s="14"/>
    </row>
    <row r="57" spans="1:45" x14ac:dyDescent="0.25">
      <c r="A57" s="15"/>
      <c r="B57" s="15"/>
      <c r="C57" s="15" t="s">
        <v>130</v>
      </c>
      <c r="D57" s="18"/>
      <c r="E57" s="29">
        <v>5.0000000000000001E-3</v>
      </c>
      <c r="F57" s="21"/>
      <c r="G57" s="83">
        <f>G43</f>
        <v>54</v>
      </c>
      <c r="H57" s="15"/>
      <c r="I57" s="93">
        <f>(($L$108*L116)+($M$108*M116)+($L$129*L136)+($M$129*M136))*(1+E57)/2205</f>
        <v>0</v>
      </c>
      <c r="J57" s="15"/>
      <c r="K57" s="85">
        <f t="shared" si="9"/>
        <v>0</v>
      </c>
      <c r="L57" s="15"/>
      <c r="M57" s="14"/>
      <c r="N57" s="14"/>
      <c r="AG57" s="15"/>
      <c r="AH57" s="15"/>
      <c r="AI57" s="15" t="s">
        <v>130</v>
      </c>
      <c r="AJ57" s="18"/>
      <c r="AK57" s="29">
        <f>E57</f>
        <v>5.0000000000000001E-3</v>
      </c>
      <c r="AL57" s="15"/>
      <c r="AM57" s="83">
        <f>G57</f>
        <v>54</v>
      </c>
      <c r="AN57" s="15"/>
      <c r="AO57" s="93">
        <f>(($AR$108*AR116)+($AS$108*AS116)+($AR$129*AR136)+($AS$129*AS136))*(1+AK57)/2205</f>
        <v>0</v>
      </c>
      <c r="AP57" s="15"/>
      <c r="AQ57" s="85">
        <f>AO57*AM57</f>
        <v>0</v>
      </c>
      <c r="AR57" s="15"/>
      <c r="AS57" s="14"/>
    </row>
    <row r="58" spans="1:45" x14ac:dyDescent="0.25">
      <c r="A58" s="15"/>
      <c r="B58" s="15"/>
      <c r="C58" s="15" t="s">
        <v>131</v>
      </c>
      <c r="D58" s="18"/>
      <c r="E58" s="29">
        <v>5.0000000000000001E-3</v>
      </c>
      <c r="F58" s="21"/>
      <c r="G58" s="83">
        <f>G44</f>
        <v>102</v>
      </c>
      <c r="H58" s="15"/>
      <c r="I58" s="93">
        <f>(($L$108*L117)+($M$108*M117)+($L$129*L137)+($M$129*M137))*(1+E58)/2205</f>
        <v>0</v>
      </c>
      <c r="J58" s="15"/>
      <c r="K58" s="85">
        <f t="shared" si="9"/>
        <v>0</v>
      </c>
      <c r="L58" s="15"/>
      <c r="M58" s="14"/>
      <c r="N58" s="14"/>
      <c r="AA58" s="13">
        <f>K63/$D$6</f>
        <v>0</v>
      </c>
      <c r="AB58" s="13" t="s">
        <v>132</v>
      </c>
      <c r="AG58" s="15"/>
      <c r="AH58" s="15"/>
      <c r="AI58" s="15" t="s">
        <v>131</v>
      </c>
      <c r="AJ58" s="18"/>
      <c r="AK58" s="29">
        <f>E58</f>
        <v>5.0000000000000001E-3</v>
      </c>
      <c r="AL58" s="15"/>
      <c r="AM58" s="83">
        <f>G58</f>
        <v>102</v>
      </c>
      <c r="AN58" s="15"/>
      <c r="AO58" s="93">
        <f>(($AR$108*AR117)+($AS$108*AS117)+($AR$129*AR137)+($AS$129*AS137))*(1+AK58)/2205</f>
        <v>0</v>
      </c>
      <c r="AP58" s="15"/>
      <c r="AQ58" s="85">
        <f>AO58*AM58</f>
        <v>0</v>
      </c>
      <c r="AR58" s="15"/>
      <c r="AS58" s="14"/>
    </row>
    <row r="59" spans="1:45" x14ac:dyDescent="0.25">
      <c r="A59" s="266"/>
      <c r="B59" s="266"/>
      <c r="C59" s="267" t="s">
        <v>133</v>
      </c>
      <c r="D59" s="267"/>
      <c r="E59" s="94"/>
      <c r="F59" s="21"/>
      <c r="G59" s="95"/>
      <c r="H59" s="15"/>
      <c r="I59" s="93"/>
      <c r="J59" s="15"/>
      <c r="K59" s="85"/>
      <c r="L59" s="15"/>
      <c r="M59" s="14"/>
      <c r="N59" s="14"/>
      <c r="AA59" s="13">
        <f>K64/$D$6</f>
        <v>3.3913142857142855</v>
      </c>
      <c r="AB59" s="13" t="s">
        <v>134</v>
      </c>
      <c r="AG59" s="266"/>
      <c r="AH59" s="266"/>
      <c r="AI59" s="267" t="s">
        <v>133</v>
      </c>
      <c r="AJ59" s="267"/>
      <c r="AK59" s="94"/>
      <c r="AL59" s="15"/>
      <c r="AM59" s="95"/>
      <c r="AN59" s="15"/>
      <c r="AO59" s="93"/>
      <c r="AP59" s="15"/>
      <c r="AQ59" s="85"/>
      <c r="AR59" s="15"/>
      <c r="AS59" s="14"/>
    </row>
    <row r="60" spans="1:45" x14ac:dyDescent="0.25">
      <c r="A60" s="15"/>
      <c r="B60" s="15"/>
      <c r="C60" s="15" t="str">
        <f>C119</f>
        <v>Corn</v>
      </c>
      <c r="D60" s="18"/>
      <c r="E60" s="29">
        <v>5.0000000000000001E-3</v>
      </c>
      <c r="F60" s="21" t="s">
        <v>115</v>
      </c>
      <c r="G60" s="83">
        <f>G45</f>
        <v>270</v>
      </c>
      <c r="H60" s="15"/>
      <c r="I60" s="93">
        <f>(($L$108*L119)+($M$108*M119)+($L$129*L139)+($M$129*M139))*(1+E60)/2205</f>
        <v>39.324897959183673</v>
      </c>
      <c r="J60" s="15"/>
      <c r="K60" s="85">
        <f t="shared" si="9"/>
        <v>10617.722448979592</v>
      </c>
      <c r="L60" s="15"/>
      <c r="M60" s="14"/>
      <c r="N60" s="14"/>
      <c r="AG60" s="15"/>
      <c r="AH60" s="15"/>
      <c r="AI60" s="15" t="str">
        <f>AI119</f>
        <v>Corn</v>
      </c>
      <c r="AJ60" s="18"/>
      <c r="AK60" s="29">
        <f>E60</f>
        <v>5.0000000000000001E-3</v>
      </c>
      <c r="AL60" s="15" t="s">
        <v>115</v>
      </c>
      <c r="AM60" s="83">
        <f>G60</f>
        <v>270</v>
      </c>
      <c r="AN60" s="15"/>
      <c r="AO60" s="93">
        <f>(($AR$108*AR119)+($AS$108*AS119)+($AR$129*AR139)+($AS$129*AS139))*(1+AK60)/2205</f>
        <v>39.324897959183673</v>
      </c>
      <c r="AP60" s="15"/>
      <c r="AQ60" s="85">
        <f>AO60*AM60</f>
        <v>10617.722448979592</v>
      </c>
      <c r="AR60" s="15"/>
      <c r="AS60" s="14"/>
    </row>
    <row r="61" spans="1:45" x14ac:dyDescent="0.25">
      <c r="A61" s="15"/>
      <c r="B61" s="15"/>
      <c r="C61" s="15" t="s">
        <v>120</v>
      </c>
      <c r="D61" s="18"/>
      <c r="E61" s="29">
        <v>2.5000000000000001E-3</v>
      </c>
      <c r="F61" s="21"/>
      <c r="G61" s="83">
        <f>G46</f>
        <v>360</v>
      </c>
      <c r="H61" s="15"/>
      <c r="I61" s="93">
        <f>(($L$108*L120)+($M$108*M120)+($L$129*L140)+($M$129*M140))*(1+E61)/2205</f>
        <v>0</v>
      </c>
      <c r="J61" s="15"/>
      <c r="K61" s="85">
        <f t="shared" si="9"/>
        <v>0</v>
      </c>
      <c r="L61" s="15"/>
      <c r="M61" s="14"/>
      <c r="N61" s="14"/>
      <c r="AG61" s="15"/>
      <c r="AH61" s="15"/>
      <c r="AI61" s="15" t="s">
        <v>120</v>
      </c>
      <c r="AJ61" s="18"/>
      <c r="AK61" s="29">
        <f>E61</f>
        <v>2.5000000000000001E-3</v>
      </c>
      <c r="AL61" s="15"/>
      <c r="AM61" s="83">
        <f>G61</f>
        <v>360</v>
      </c>
      <c r="AN61" s="15"/>
      <c r="AO61" s="93">
        <f>(($AR$108*AR120)+($AS$108*AS120)+($AR$129*AR140)+($AS$129*AS140))*(1+AK61)/2205</f>
        <v>0</v>
      </c>
      <c r="AP61" s="15"/>
      <c r="AQ61" s="85">
        <f>AO61*AM61</f>
        <v>0</v>
      </c>
      <c r="AR61" s="15"/>
      <c r="AS61" s="14"/>
    </row>
    <row r="62" spans="1:45" x14ac:dyDescent="0.25">
      <c r="A62" s="266"/>
      <c r="B62" s="266"/>
      <c r="C62" s="267" t="s">
        <v>135</v>
      </c>
      <c r="D62" s="267"/>
      <c r="E62" s="94"/>
      <c r="F62" s="21"/>
      <c r="G62" s="95"/>
      <c r="H62" s="15"/>
      <c r="I62" s="93"/>
      <c r="J62" s="15"/>
      <c r="K62" s="85"/>
      <c r="L62" s="15"/>
      <c r="M62" s="14"/>
      <c r="N62" s="14"/>
      <c r="AG62" s="266"/>
      <c r="AH62" s="266"/>
      <c r="AI62" s="267" t="s">
        <v>135</v>
      </c>
      <c r="AJ62" s="267"/>
      <c r="AK62" s="94"/>
      <c r="AL62" s="15"/>
      <c r="AM62" s="95"/>
      <c r="AN62" s="15"/>
      <c r="AO62" s="93"/>
      <c r="AP62" s="15"/>
      <c r="AQ62" s="85"/>
      <c r="AR62" s="15"/>
      <c r="AS62" s="14"/>
    </row>
    <row r="63" spans="1:45" x14ac:dyDescent="0.25">
      <c r="A63" s="15"/>
      <c r="B63" s="15"/>
      <c r="C63" s="15" t="str">
        <f>C122</f>
        <v>Soybean Meal</v>
      </c>
      <c r="D63" s="18"/>
      <c r="E63" s="86">
        <v>2.5000000000000001E-3</v>
      </c>
      <c r="F63" s="21" t="s">
        <v>115</v>
      </c>
      <c r="G63" s="83">
        <f>G48</f>
        <v>690</v>
      </c>
      <c r="H63" s="15"/>
      <c r="I63" s="93">
        <f t="shared" ref="I63:I68" si="10">(($L$108*L122)+($M$108*M122)+($L$129*L142)+($M$129*M142))*(1+E63)/2205</f>
        <v>0</v>
      </c>
      <c r="J63" s="15"/>
      <c r="K63" s="85">
        <f t="shared" si="9"/>
        <v>0</v>
      </c>
      <c r="L63" s="15"/>
      <c r="M63" s="14"/>
      <c r="N63" s="14"/>
      <c r="AA63" s="13">
        <f>K65/$D$6</f>
        <v>0</v>
      </c>
      <c r="AB63" s="13" t="s">
        <v>130</v>
      </c>
      <c r="AG63" s="15"/>
      <c r="AH63" s="15"/>
      <c r="AI63" s="15" t="str">
        <f>AI122</f>
        <v>Soybean Meal</v>
      </c>
      <c r="AJ63" s="18"/>
      <c r="AK63" s="86">
        <f t="shared" ref="AK63:AK68" si="11">E63</f>
        <v>2.5000000000000001E-3</v>
      </c>
      <c r="AL63" s="15" t="s">
        <v>115</v>
      </c>
      <c r="AM63" s="83">
        <f t="shared" ref="AM63:AM68" si="12">G63</f>
        <v>690</v>
      </c>
      <c r="AN63" s="15"/>
      <c r="AO63" s="93">
        <f t="shared" ref="AO63:AO68" si="13">(($AR$108*AR122)+($AS$108*AS122)+($AR$129*AR142)+($AS$129*AS142))*(1+AK63)/2205</f>
        <v>0</v>
      </c>
      <c r="AP63" s="15"/>
      <c r="AQ63" s="85">
        <f t="shared" ref="AQ63:AQ68" si="14">AO63*AM63</f>
        <v>0</v>
      </c>
      <c r="AR63" s="15"/>
      <c r="AS63" s="14"/>
    </row>
    <row r="64" spans="1:45" x14ac:dyDescent="0.25">
      <c r="A64" s="15"/>
      <c r="B64" s="15"/>
      <c r="C64" s="15" t="str">
        <f>C123</f>
        <v>Pellet Protein Supplement</v>
      </c>
      <c r="D64" s="18"/>
      <c r="E64" s="87">
        <v>2.5000000000000001E-3</v>
      </c>
      <c r="F64" s="21" t="s">
        <v>115</v>
      </c>
      <c r="G64" s="83">
        <f>G47</f>
        <v>1200</v>
      </c>
      <c r="H64" s="15"/>
      <c r="I64" s="93">
        <f t="shared" si="10"/>
        <v>2.8260952380952382</v>
      </c>
      <c r="J64" s="15"/>
      <c r="K64" s="85">
        <f t="shared" si="9"/>
        <v>3391.3142857142857</v>
      </c>
      <c r="L64" s="15"/>
      <c r="M64" s="14"/>
      <c r="N64" s="14"/>
      <c r="AG64" s="15"/>
      <c r="AH64" s="15"/>
      <c r="AI64" s="15" t="str">
        <f>AI123</f>
        <v>Pellet Protein Supplement</v>
      </c>
      <c r="AJ64" s="18"/>
      <c r="AK64" s="87">
        <f t="shared" si="11"/>
        <v>2.5000000000000001E-3</v>
      </c>
      <c r="AL64" s="15" t="s">
        <v>115</v>
      </c>
      <c r="AM64" s="83">
        <f t="shared" si="12"/>
        <v>1200</v>
      </c>
      <c r="AN64" s="15"/>
      <c r="AO64" s="93">
        <f t="shared" si="13"/>
        <v>2.8260952380952382</v>
      </c>
      <c r="AP64" s="15"/>
      <c r="AQ64" s="85">
        <f t="shared" si="14"/>
        <v>3391.3142857142857</v>
      </c>
      <c r="AR64" s="15"/>
      <c r="AS64" s="14"/>
    </row>
    <row r="65" spans="1:45" x14ac:dyDescent="0.25">
      <c r="A65" s="15"/>
      <c r="B65" s="15"/>
      <c r="C65" s="15" t="s">
        <v>136</v>
      </c>
      <c r="D65" s="18"/>
      <c r="E65" s="96">
        <v>0</v>
      </c>
      <c r="F65" s="21" t="s">
        <v>115</v>
      </c>
      <c r="G65" s="83">
        <v>305</v>
      </c>
      <c r="H65" s="15"/>
      <c r="I65" s="93">
        <f t="shared" si="10"/>
        <v>0</v>
      </c>
      <c r="J65" s="15"/>
      <c r="K65" s="85">
        <f>I65*G65</f>
        <v>0</v>
      </c>
      <c r="L65" s="15"/>
      <c r="M65" s="14"/>
      <c r="N65" s="14"/>
      <c r="AG65" s="15"/>
      <c r="AH65" s="15"/>
      <c r="AI65" s="15" t="s">
        <v>136</v>
      </c>
      <c r="AJ65" s="18"/>
      <c r="AK65" s="96">
        <f t="shared" si="11"/>
        <v>0</v>
      </c>
      <c r="AL65" s="15" t="s">
        <v>115</v>
      </c>
      <c r="AM65" s="83">
        <f t="shared" si="12"/>
        <v>305</v>
      </c>
      <c r="AN65" s="15"/>
      <c r="AO65" s="93">
        <f t="shared" si="13"/>
        <v>0</v>
      </c>
      <c r="AP65" s="15"/>
      <c r="AQ65" s="85">
        <f t="shared" si="14"/>
        <v>0</v>
      </c>
      <c r="AR65" s="15"/>
      <c r="AS65" s="14"/>
    </row>
    <row r="66" spans="1:45" ht="13.5" customHeight="1" x14ac:dyDescent="0.25">
      <c r="A66" s="15"/>
      <c r="B66" s="15"/>
      <c r="C66" s="18" t="str">
        <f>C125</f>
        <v xml:space="preserve">Salt </v>
      </c>
      <c r="D66" s="18"/>
      <c r="E66" s="96">
        <v>0</v>
      </c>
      <c r="F66" s="21" t="s">
        <v>115</v>
      </c>
      <c r="G66" s="83">
        <f>G49</f>
        <v>500</v>
      </c>
      <c r="H66" s="15"/>
      <c r="I66" s="93">
        <f t="shared" si="10"/>
        <v>5.4261678004535154</v>
      </c>
      <c r="J66" s="15"/>
      <c r="K66" s="85">
        <f t="shared" si="9"/>
        <v>2713.0839002267576</v>
      </c>
      <c r="L66" s="15"/>
      <c r="M66" s="14"/>
      <c r="N66" s="14"/>
      <c r="AA66" s="13">
        <f>K66/$D$6</f>
        <v>2.7130839002267577</v>
      </c>
      <c r="AB66" s="13" t="s">
        <v>137</v>
      </c>
      <c r="AG66" s="15"/>
      <c r="AH66" s="15"/>
      <c r="AI66" s="18" t="str">
        <f>AI125</f>
        <v xml:space="preserve">Salt </v>
      </c>
      <c r="AJ66" s="18"/>
      <c r="AK66" s="96">
        <f t="shared" si="11"/>
        <v>0</v>
      </c>
      <c r="AL66" s="15" t="s">
        <v>115</v>
      </c>
      <c r="AM66" s="83">
        <f t="shared" si="12"/>
        <v>500</v>
      </c>
      <c r="AN66" s="15"/>
      <c r="AO66" s="93">
        <f t="shared" si="13"/>
        <v>5.4261678004535154</v>
      </c>
      <c r="AP66" s="15"/>
      <c r="AQ66" s="85">
        <f t="shared" si="14"/>
        <v>2713.0839002267576</v>
      </c>
      <c r="AR66" s="15"/>
      <c r="AS66" s="14"/>
    </row>
    <row r="67" spans="1:45" x14ac:dyDescent="0.25">
      <c r="A67" s="15"/>
      <c r="B67" s="15"/>
      <c r="C67" s="18" t="str">
        <f>C126</f>
        <v>Mineral</v>
      </c>
      <c r="D67" s="18"/>
      <c r="E67" s="29">
        <v>0.01</v>
      </c>
      <c r="F67" s="21" t="s">
        <v>115</v>
      </c>
      <c r="G67" s="83">
        <f>G50</f>
        <v>1600</v>
      </c>
      <c r="H67" s="15"/>
      <c r="I67" s="93">
        <f t="shared" si="10"/>
        <v>7.2927496598639454</v>
      </c>
      <c r="J67" s="15"/>
      <c r="K67" s="85">
        <f t="shared" si="9"/>
        <v>11668.399455782313</v>
      </c>
      <c r="L67" s="15"/>
      <c r="M67" s="14"/>
      <c r="N67" s="14"/>
      <c r="AA67" s="13">
        <f>K67/$D$6</f>
        <v>11.668399455782314</v>
      </c>
      <c r="AB67" s="13" t="s">
        <v>124</v>
      </c>
      <c r="AG67" s="15"/>
      <c r="AH67" s="15"/>
      <c r="AI67" s="18" t="str">
        <f>AI126</f>
        <v>Mineral</v>
      </c>
      <c r="AJ67" s="18"/>
      <c r="AK67" s="29">
        <f t="shared" si="11"/>
        <v>0.01</v>
      </c>
      <c r="AL67" s="15" t="s">
        <v>115</v>
      </c>
      <c r="AM67" s="83">
        <f t="shared" si="12"/>
        <v>1600</v>
      </c>
      <c r="AN67" s="15"/>
      <c r="AO67" s="93">
        <f t="shared" si="13"/>
        <v>7.2927496598639454</v>
      </c>
      <c r="AP67" s="15"/>
      <c r="AQ67" s="85">
        <f t="shared" si="14"/>
        <v>11668.399455782313</v>
      </c>
      <c r="AR67" s="15"/>
      <c r="AS67" s="14"/>
    </row>
    <row r="68" spans="1:45" x14ac:dyDescent="0.25">
      <c r="A68" s="15"/>
      <c r="B68" s="15"/>
      <c r="C68" s="18" t="s">
        <v>125</v>
      </c>
      <c r="D68" s="18"/>
      <c r="E68" s="29">
        <v>0</v>
      </c>
      <c r="F68" s="21"/>
      <c r="G68" s="83">
        <v>68</v>
      </c>
      <c r="H68" s="15"/>
      <c r="I68" s="93">
        <f t="shared" si="10"/>
        <v>504.19727891156464</v>
      </c>
      <c r="J68" s="15"/>
      <c r="K68" s="85">
        <f t="shared" si="9"/>
        <v>34285.414965986398</v>
      </c>
      <c r="L68" s="15"/>
      <c r="M68" s="14"/>
      <c r="N68" s="14"/>
      <c r="AA68" s="13">
        <f>K70/$D$6</f>
        <v>0</v>
      </c>
      <c r="AB68" s="13" t="s">
        <v>138</v>
      </c>
      <c r="AG68" s="15"/>
      <c r="AH68" s="15"/>
      <c r="AI68" s="18" t="s">
        <v>125</v>
      </c>
      <c r="AJ68" s="18"/>
      <c r="AK68" s="29">
        <f t="shared" si="11"/>
        <v>0</v>
      </c>
      <c r="AL68" s="15"/>
      <c r="AM68" s="83">
        <f t="shared" si="12"/>
        <v>68</v>
      </c>
      <c r="AN68" s="15"/>
      <c r="AO68" s="93">
        <f t="shared" si="13"/>
        <v>504.19727891156464</v>
      </c>
      <c r="AP68" s="15"/>
      <c r="AQ68" s="85">
        <f t="shared" si="14"/>
        <v>34285.414965986398</v>
      </c>
      <c r="AR68" s="15"/>
      <c r="AS68" s="14"/>
    </row>
    <row r="69" spans="1:45" x14ac:dyDescent="0.25">
      <c r="A69" s="15"/>
      <c r="B69" s="15"/>
      <c r="C69" s="15"/>
      <c r="D69" s="97"/>
      <c r="E69" s="98"/>
      <c r="F69" s="298"/>
      <c r="G69" s="99"/>
      <c r="H69" s="15"/>
      <c r="I69" s="15"/>
      <c r="J69" s="15"/>
      <c r="K69" s="85"/>
      <c r="L69" s="15"/>
      <c r="M69" s="14"/>
      <c r="N69" s="14"/>
      <c r="AA69" s="13">
        <f>K71/$D$6</f>
        <v>0.63</v>
      </c>
      <c r="AB69" s="13" t="s">
        <v>139</v>
      </c>
      <c r="AG69" s="15"/>
      <c r="AH69" s="15"/>
      <c r="AI69" s="15"/>
      <c r="AJ69" s="97"/>
      <c r="AK69" s="98"/>
      <c r="AL69" s="92"/>
      <c r="AM69" s="99"/>
      <c r="AN69" s="15"/>
      <c r="AO69" s="15"/>
      <c r="AP69" s="15"/>
      <c r="AQ69" s="85"/>
      <c r="AR69" s="15"/>
      <c r="AS69" s="14"/>
    </row>
    <row r="70" spans="1:45" x14ac:dyDescent="0.25">
      <c r="A70" s="15"/>
      <c r="B70" s="15"/>
      <c r="C70" s="15" t="s">
        <v>138</v>
      </c>
      <c r="D70" s="18"/>
      <c r="E70" s="29">
        <v>0</v>
      </c>
      <c r="F70" s="21" t="s">
        <v>115</v>
      </c>
      <c r="G70" s="83">
        <f>20/25*1000</f>
        <v>800</v>
      </c>
      <c r="H70" s="15"/>
      <c r="I70" s="17">
        <v>0</v>
      </c>
      <c r="J70" s="15" t="s">
        <v>140</v>
      </c>
      <c r="K70" s="85">
        <f>I70/2205*G70*D6*D13*(1+E70)</f>
        <v>0</v>
      </c>
      <c r="L70" s="15"/>
      <c r="M70" s="14"/>
      <c r="N70" s="14"/>
      <c r="AA70" s="13">
        <f>K76/$D$6</f>
        <v>0</v>
      </c>
      <c r="AB70" s="13" t="s">
        <v>125</v>
      </c>
      <c r="AG70" s="15"/>
      <c r="AH70" s="15"/>
      <c r="AI70" s="15" t="s">
        <v>138</v>
      </c>
      <c r="AJ70" s="18"/>
      <c r="AK70" s="29">
        <f>E70</f>
        <v>0</v>
      </c>
      <c r="AL70" s="15" t="s">
        <v>115</v>
      </c>
      <c r="AM70" s="83">
        <f t="shared" ref="AM70:AO71" si="15">G70</f>
        <v>800</v>
      </c>
      <c r="AN70" s="15"/>
      <c r="AO70" s="22">
        <f t="shared" si="15"/>
        <v>0</v>
      </c>
      <c r="AP70" s="15" t="s">
        <v>140</v>
      </c>
      <c r="AQ70" s="85">
        <f>AO70/2205*AM70*AJ6*AJ13*(1+AK70)</f>
        <v>0</v>
      </c>
      <c r="AR70" s="15"/>
      <c r="AS70" s="14"/>
    </row>
    <row r="71" spans="1:45" x14ac:dyDescent="0.25">
      <c r="A71" s="15"/>
      <c r="B71" s="15"/>
      <c r="C71" s="89" t="s">
        <v>139</v>
      </c>
      <c r="D71" s="90"/>
      <c r="E71" s="29">
        <v>0</v>
      </c>
      <c r="F71" s="21" t="s">
        <v>141</v>
      </c>
      <c r="G71" s="83">
        <v>105</v>
      </c>
      <c r="H71" s="15"/>
      <c r="I71" s="17">
        <v>6</v>
      </c>
      <c r="J71" s="15" t="s">
        <v>142</v>
      </c>
      <c r="K71" s="85">
        <f>I71*G71*(1+E71)</f>
        <v>630</v>
      </c>
      <c r="L71" s="15"/>
      <c r="M71" s="14"/>
      <c r="N71" s="14"/>
      <c r="AG71" s="15"/>
      <c r="AH71" s="15"/>
      <c r="AI71" s="89" t="s">
        <v>139</v>
      </c>
      <c r="AJ71" s="90"/>
      <c r="AK71" s="29">
        <f>E71</f>
        <v>0</v>
      </c>
      <c r="AL71" s="15" t="s">
        <v>141</v>
      </c>
      <c r="AM71" s="83">
        <f t="shared" si="15"/>
        <v>105</v>
      </c>
      <c r="AN71" s="15"/>
      <c r="AO71" s="22">
        <f t="shared" si="15"/>
        <v>6</v>
      </c>
      <c r="AP71" s="15" t="s">
        <v>142</v>
      </c>
      <c r="AQ71" s="85">
        <f>AO71*AM71*(1+AK71)</f>
        <v>630</v>
      </c>
      <c r="AR71" s="15"/>
      <c r="AS71" s="14"/>
    </row>
    <row r="72" spans="1:45" x14ac:dyDescent="0.25">
      <c r="A72" s="15"/>
      <c r="B72" s="15"/>
      <c r="C72" s="89"/>
      <c r="D72" s="90"/>
      <c r="E72" s="91"/>
      <c r="F72" s="21"/>
      <c r="G72" s="303"/>
      <c r="H72" s="15"/>
      <c r="I72" s="304"/>
      <c r="J72" s="15"/>
      <c r="K72" s="85"/>
      <c r="L72" s="15"/>
      <c r="M72" s="14"/>
      <c r="N72" s="14"/>
      <c r="AG72" s="15"/>
      <c r="AH72" s="15"/>
      <c r="AI72" s="89"/>
      <c r="AJ72" s="90"/>
      <c r="AK72" s="91"/>
      <c r="AL72" s="15"/>
      <c r="AM72" s="296"/>
      <c r="AN72" s="15"/>
      <c r="AO72" s="297"/>
      <c r="AP72" s="15"/>
      <c r="AQ72" s="85"/>
      <c r="AR72" s="15"/>
      <c r="AS72" s="14"/>
    </row>
    <row r="73" spans="1:45" x14ac:dyDescent="0.25">
      <c r="A73" s="15"/>
      <c r="B73" s="15"/>
      <c r="C73" s="89"/>
      <c r="D73" s="90"/>
      <c r="E73" s="308" t="s">
        <v>143</v>
      </c>
      <c r="F73" s="21"/>
      <c r="G73" s="301"/>
      <c r="H73" s="15"/>
      <c r="I73" s="302"/>
      <c r="J73" s="15"/>
      <c r="K73" s="85"/>
      <c r="L73" s="15"/>
      <c r="M73" s="14"/>
      <c r="N73" s="14"/>
      <c r="AG73" s="15"/>
      <c r="AH73" s="15"/>
      <c r="AI73" s="89"/>
      <c r="AJ73" s="90"/>
      <c r="AK73" s="91"/>
      <c r="AL73" s="15"/>
      <c r="AM73" s="296"/>
      <c r="AN73" s="15"/>
      <c r="AO73" s="297"/>
      <c r="AP73" s="15"/>
      <c r="AQ73" s="85"/>
      <c r="AR73" s="15"/>
      <c r="AS73" s="14"/>
    </row>
    <row r="74" spans="1:45" x14ac:dyDescent="0.25">
      <c r="A74" s="15"/>
      <c r="B74" s="15"/>
      <c r="C74" s="89" t="s">
        <v>144</v>
      </c>
      <c r="D74" s="90"/>
      <c r="E74" s="299">
        <f>Z103</f>
        <v>30.985915492957748</v>
      </c>
      <c r="F74" s="21" t="s">
        <v>115</v>
      </c>
      <c r="G74" s="83">
        <v>200</v>
      </c>
      <c r="H74" s="15"/>
      <c r="I74" s="306">
        <v>0.5</v>
      </c>
      <c r="J74" s="15" t="s">
        <v>145</v>
      </c>
      <c r="K74" s="85">
        <f>I74*E74*(G74/2205)*((D27+D10+H9+D24+D25))</f>
        <v>1312.79103190572</v>
      </c>
      <c r="L74" s="15"/>
      <c r="M74" s="14"/>
      <c r="N74" s="300"/>
      <c r="AG74" s="15"/>
      <c r="AH74" s="15"/>
      <c r="AI74" s="89"/>
      <c r="AJ74" s="90"/>
      <c r="AK74" s="91"/>
      <c r="AL74" s="15"/>
      <c r="AM74" s="296"/>
      <c r="AN74" s="15"/>
      <c r="AO74" s="297"/>
      <c r="AP74" s="15"/>
      <c r="AQ74" s="85"/>
      <c r="AR74" s="15"/>
      <c r="AS74" s="14"/>
    </row>
    <row r="75" spans="1:45" x14ac:dyDescent="0.25">
      <c r="A75" s="15"/>
      <c r="B75" s="15"/>
      <c r="C75" s="89" t="s">
        <v>146</v>
      </c>
      <c r="D75" s="90"/>
      <c r="E75" s="299">
        <f>D12</f>
        <v>160</v>
      </c>
      <c r="F75" s="21" t="s">
        <v>115</v>
      </c>
      <c r="G75" s="83">
        <v>200</v>
      </c>
      <c r="H75" s="15"/>
      <c r="I75" s="306">
        <v>1</v>
      </c>
      <c r="J75" s="15" t="s">
        <v>145</v>
      </c>
      <c r="K75" s="85">
        <f>I75*E75*D6*(G75/2205)</f>
        <v>14512.471655328798</v>
      </c>
      <c r="L75" s="15"/>
      <c r="M75" s="14"/>
      <c r="N75" s="14"/>
      <c r="AG75" s="15"/>
      <c r="AH75" s="15"/>
      <c r="AI75" s="89"/>
      <c r="AJ75" s="90"/>
      <c r="AK75" s="91"/>
      <c r="AL75" s="15"/>
      <c r="AM75" s="296"/>
      <c r="AN75" s="15"/>
      <c r="AO75" s="297"/>
      <c r="AP75" s="15"/>
      <c r="AQ75" s="85"/>
      <c r="AR75" s="15"/>
      <c r="AS75" s="14"/>
    </row>
    <row r="76" spans="1:45" x14ac:dyDescent="0.25">
      <c r="A76" s="15"/>
      <c r="B76" s="15"/>
      <c r="C76" s="15"/>
      <c r="D76" s="18"/>
      <c r="E76" s="98"/>
      <c r="F76" s="92"/>
      <c r="G76" s="15"/>
      <c r="H76" s="15"/>
      <c r="I76" s="15"/>
      <c r="J76" s="15"/>
      <c r="K76" s="85"/>
      <c r="L76" s="15"/>
      <c r="M76" s="14"/>
      <c r="N76" s="14"/>
      <c r="AG76" s="15"/>
      <c r="AH76" s="15"/>
      <c r="AI76" s="15"/>
      <c r="AJ76" s="18"/>
      <c r="AK76" s="98"/>
      <c r="AL76" s="92"/>
      <c r="AM76" s="15"/>
      <c r="AN76" s="15"/>
      <c r="AO76" s="15"/>
      <c r="AP76" s="15"/>
      <c r="AQ76" s="85"/>
      <c r="AR76" s="15"/>
      <c r="AS76" s="14"/>
    </row>
    <row r="77" spans="1:45" ht="12.75" customHeight="1" thickBot="1" x14ac:dyDescent="0.3">
      <c r="A77" s="15"/>
      <c r="B77" s="15"/>
      <c r="C77" s="15"/>
      <c r="D77" s="97"/>
      <c r="E77" s="98"/>
      <c r="F77" s="92"/>
      <c r="G77" s="99"/>
      <c r="H77" s="15"/>
      <c r="I77" s="15"/>
      <c r="J77" s="15"/>
      <c r="K77" s="85"/>
      <c r="L77" s="15"/>
      <c r="M77" s="14"/>
      <c r="N77" s="14"/>
      <c r="W77" s="13" t="s">
        <v>147</v>
      </c>
      <c r="AA77" s="13">
        <f t="shared" ref="AA77:AA86" si="16">K77/$D$6</f>
        <v>0</v>
      </c>
      <c r="AG77" s="15"/>
      <c r="AH77" s="15"/>
      <c r="AI77" s="15"/>
      <c r="AJ77" s="97"/>
      <c r="AK77" s="98"/>
      <c r="AL77" s="92"/>
      <c r="AM77" s="99"/>
      <c r="AN77" s="15"/>
      <c r="AO77" s="15"/>
      <c r="AP77" s="15"/>
      <c r="AQ77" s="85"/>
      <c r="AR77" s="15"/>
      <c r="AS77" s="14"/>
    </row>
    <row r="78" spans="1:45" ht="16.5" thickBot="1" x14ac:dyDescent="0.3">
      <c r="A78" s="15"/>
      <c r="B78" s="15"/>
      <c r="C78" s="15"/>
      <c r="D78" s="18"/>
      <c r="E78" s="15"/>
      <c r="F78" s="238"/>
      <c r="G78" s="238" t="s">
        <v>148</v>
      </c>
      <c r="H78" s="100"/>
      <c r="I78" s="100"/>
      <c r="J78" s="100"/>
      <c r="K78" s="101">
        <f>SUM(K41:K76)</f>
        <v>170516.63423066671</v>
      </c>
      <c r="L78" s="15"/>
      <c r="M78" s="14"/>
      <c r="N78" s="14"/>
      <c r="AA78" s="13">
        <f t="shared" si="16"/>
        <v>170.51663423066671</v>
      </c>
      <c r="AG78" s="15"/>
      <c r="AH78" s="15"/>
      <c r="AI78" s="15"/>
      <c r="AJ78" s="18"/>
      <c r="AK78" s="15"/>
      <c r="AL78" s="238"/>
      <c r="AM78" s="238" t="s">
        <v>148</v>
      </c>
      <c r="AN78" s="100"/>
      <c r="AO78" s="100"/>
      <c r="AP78" s="100"/>
      <c r="AQ78" s="101">
        <f>SUM(AQ41:AQ76)</f>
        <v>154691.37154343221</v>
      </c>
      <c r="AR78" s="15"/>
      <c r="AS78" s="14"/>
    </row>
    <row r="79" spans="1:45" ht="13.5" customHeight="1" x14ac:dyDescent="0.25">
      <c r="A79" s="15"/>
      <c r="B79" s="102" t="s">
        <v>149</v>
      </c>
      <c r="C79" s="15"/>
      <c r="D79" s="18"/>
      <c r="E79" s="15"/>
      <c r="F79" s="15"/>
      <c r="G79" s="15"/>
      <c r="H79" s="15"/>
      <c r="I79" s="15"/>
      <c r="J79" s="15"/>
      <c r="K79" s="15"/>
      <c r="L79" s="15"/>
      <c r="M79" s="14"/>
      <c r="N79" s="14"/>
      <c r="AA79" s="13">
        <f t="shared" si="16"/>
        <v>0</v>
      </c>
      <c r="AG79" s="15"/>
      <c r="AH79" s="102" t="s">
        <v>149</v>
      </c>
      <c r="AI79" s="15"/>
      <c r="AJ79" s="18"/>
      <c r="AK79" s="15"/>
      <c r="AL79" s="15"/>
      <c r="AM79" s="15"/>
      <c r="AN79" s="15"/>
      <c r="AO79" s="15"/>
      <c r="AP79" s="15"/>
      <c r="AQ79" s="15"/>
      <c r="AR79" s="15"/>
      <c r="AS79" s="14"/>
    </row>
    <row r="80" spans="1:45" x14ac:dyDescent="0.25">
      <c r="A80" s="15"/>
      <c r="B80" s="15"/>
      <c r="C80" s="43" t="s">
        <v>150</v>
      </c>
      <c r="D80" s="18"/>
      <c r="E80" s="103">
        <f>K80/D6</f>
        <v>25.684664999999999</v>
      </c>
      <c r="F80" s="15" t="s">
        <v>151</v>
      </c>
      <c r="G80" s="15"/>
      <c r="H80" s="15"/>
      <c r="I80" s="15"/>
      <c r="J80" s="15"/>
      <c r="K80" s="85">
        <f>I210</f>
        <v>25684.664999999997</v>
      </c>
      <c r="L80" s="15"/>
      <c r="M80" s="14"/>
      <c r="N80" s="14"/>
      <c r="AA80" s="13">
        <f t="shared" si="16"/>
        <v>25.684664999999999</v>
      </c>
      <c r="AB80" s="43" t="s">
        <v>150</v>
      </c>
      <c r="AG80" s="15"/>
      <c r="AH80" s="15"/>
      <c r="AI80" s="43" t="s">
        <v>150</v>
      </c>
      <c r="AJ80" s="18"/>
      <c r="AK80" s="103">
        <f>AQ80/AJ6</f>
        <v>25.684664999999999</v>
      </c>
      <c r="AL80" s="15" t="s">
        <v>151</v>
      </c>
      <c r="AM80" s="15"/>
      <c r="AN80" s="15"/>
      <c r="AO80" s="15"/>
      <c r="AP80" s="15"/>
      <c r="AQ80" s="85">
        <f>AO210</f>
        <v>25684.664999999997</v>
      </c>
      <c r="AR80" s="15" t="str">
        <f>IF(AQ80&lt;&gt;K80,"hey","")</f>
        <v/>
      </c>
      <c r="AS80" s="14"/>
    </row>
    <row r="81" spans="1:45" ht="18.75" x14ac:dyDescent="0.25">
      <c r="A81" s="15"/>
      <c r="B81" s="15"/>
      <c r="C81" s="43" t="s">
        <v>152</v>
      </c>
      <c r="D81" s="18"/>
      <c r="E81" s="294">
        <v>2.65</v>
      </c>
      <c r="F81" s="15" t="s">
        <v>153</v>
      </c>
      <c r="G81" s="15"/>
      <c r="H81" s="15"/>
      <c r="I81" s="15"/>
      <c r="J81" s="15"/>
      <c r="K81" s="85">
        <f>E81*(D24+D25+H17+D28+D29)</f>
        <v>3739.15</v>
      </c>
      <c r="L81" s="15"/>
      <c r="M81" s="14"/>
      <c r="N81" s="14"/>
      <c r="AA81" s="13">
        <f t="shared" si="16"/>
        <v>3.73915</v>
      </c>
      <c r="AB81" s="43" t="s">
        <v>152</v>
      </c>
      <c r="AG81" s="15"/>
      <c r="AH81" s="15"/>
      <c r="AI81" s="43" t="s">
        <v>152</v>
      </c>
      <c r="AJ81" s="18"/>
      <c r="AK81" s="104">
        <f t="shared" ref="AK81:AK92" si="17">E81</f>
        <v>2.65</v>
      </c>
      <c r="AL81" s="15" t="s">
        <v>153</v>
      </c>
      <c r="AM81" s="15"/>
      <c r="AN81" s="15"/>
      <c r="AO81" s="15"/>
      <c r="AP81" s="15"/>
      <c r="AQ81" s="85">
        <f>AK81*(AJ24+AJ25+AN17+AJ28+AJ29)</f>
        <v>3739.15</v>
      </c>
      <c r="AR81" s="15" t="str">
        <f t="shared" ref="AR81:AR92" si="18">IF(AQ81&lt;&gt;K81,"hey","")</f>
        <v/>
      </c>
      <c r="AS81" s="14"/>
    </row>
    <row r="82" spans="1:45" x14ac:dyDescent="0.25">
      <c r="A82" s="15"/>
      <c r="B82" s="15"/>
      <c r="C82" s="43" t="s">
        <v>154</v>
      </c>
      <c r="D82" s="18"/>
      <c r="E82" s="294">
        <v>8</v>
      </c>
      <c r="F82" s="15" t="s">
        <v>153</v>
      </c>
      <c r="G82" s="15"/>
      <c r="H82" s="15"/>
      <c r="I82" s="15"/>
      <c r="J82" s="15"/>
      <c r="K82" s="85">
        <f>E82*(H17+D28+D29)</f>
        <v>11288</v>
      </c>
      <c r="L82" s="15"/>
      <c r="M82" s="14"/>
      <c r="N82" s="14"/>
      <c r="AA82" s="13">
        <f t="shared" si="16"/>
        <v>11.288</v>
      </c>
      <c r="AB82" s="43" t="s">
        <v>154</v>
      </c>
      <c r="AG82" s="15"/>
      <c r="AH82" s="15"/>
      <c r="AI82" s="43" t="s">
        <v>154</v>
      </c>
      <c r="AJ82" s="18"/>
      <c r="AK82" s="104">
        <f t="shared" si="17"/>
        <v>8</v>
      </c>
      <c r="AL82" s="15" t="s">
        <v>153</v>
      </c>
      <c r="AM82" s="15"/>
      <c r="AN82" s="15"/>
      <c r="AO82" s="15"/>
      <c r="AP82" s="15"/>
      <c r="AQ82" s="85">
        <f>AK82*(AN17+AJ28+AJ29)</f>
        <v>11288</v>
      </c>
      <c r="AR82" s="15" t="str">
        <f t="shared" si="18"/>
        <v/>
      </c>
      <c r="AS82" s="14"/>
    </row>
    <row r="83" spans="1:45" x14ac:dyDescent="0.25">
      <c r="A83" s="15"/>
      <c r="B83" s="15"/>
      <c r="C83" s="15" t="s">
        <v>155</v>
      </c>
      <c r="D83" s="18"/>
      <c r="E83" s="294">
        <v>12</v>
      </c>
      <c r="F83" s="15" t="s">
        <v>153</v>
      </c>
      <c r="G83" s="15"/>
      <c r="H83" s="15"/>
      <c r="I83" s="15"/>
      <c r="J83" s="15"/>
      <c r="K83" s="85">
        <f>E83*(H17+D28+D29)</f>
        <v>16932</v>
      </c>
      <c r="L83" s="15"/>
      <c r="M83" s="14"/>
      <c r="N83" s="14"/>
      <c r="AA83" s="13">
        <f t="shared" si="16"/>
        <v>16.931999999999999</v>
      </c>
      <c r="AB83" s="15" t="s">
        <v>155</v>
      </c>
      <c r="AG83" s="15"/>
      <c r="AH83" s="15"/>
      <c r="AI83" s="15" t="s">
        <v>155</v>
      </c>
      <c r="AJ83" s="18"/>
      <c r="AK83" s="104">
        <f t="shared" si="17"/>
        <v>12</v>
      </c>
      <c r="AL83" s="15" t="s">
        <v>153</v>
      </c>
      <c r="AM83" s="15"/>
      <c r="AN83" s="15"/>
      <c r="AO83" s="15"/>
      <c r="AP83" s="15"/>
      <c r="AQ83" s="85">
        <f>AK83*(AN17+AJ28+AJ29)</f>
        <v>16932</v>
      </c>
      <c r="AR83" s="15" t="str">
        <f t="shared" si="18"/>
        <v/>
      </c>
      <c r="AS83" s="14"/>
    </row>
    <row r="84" spans="1:45" x14ac:dyDescent="0.25">
      <c r="A84" s="15"/>
      <c r="B84" s="15"/>
      <c r="C84" s="15" t="s">
        <v>156</v>
      </c>
      <c r="D84" s="18"/>
      <c r="E84" s="104">
        <v>2.2000000000000002</v>
      </c>
      <c r="F84" s="15" t="s">
        <v>153</v>
      </c>
      <c r="G84" s="15"/>
      <c r="H84" s="15"/>
      <c r="I84" s="15"/>
      <c r="J84" s="15"/>
      <c r="K84" s="85">
        <f>E84*(D24+D25+H17+D28+D29)</f>
        <v>3104.2000000000003</v>
      </c>
      <c r="L84" s="15"/>
      <c r="M84" s="14"/>
      <c r="N84" s="14"/>
      <c r="AA84" s="13">
        <f t="shared" si="16"/>
        <v>3.1042000000000001</v>
      </c>
      <c r="AB84" s="15" t="s">
        <v>157</v>
      </c>
      <c r="AG84" s="15"/>
      <c r="AH84" s="15"/>
      <c r="AI84" s="15" t="s">
        <v>157</v>
      </c>
      <c r="AJ84" s="18"/>
      <c r="AK84" s="104">
        <f t="shared" si="17"/>
        <v>2.2000000000000002</v>
      </c>
      <c r="AL84" s="15" t="s">
        <v>153</v>
      </c>
      <c r="AM84" s="15"/>
      <c r="AN84" s="15"/>
      <c r="AO84" s="15"/>
      <c r="AP84" s="15"/>
      <c r="AQ84" s="85">
        <f>AK84*(AJ24+AJ25+AN17+AJ28+AJ29)</f>
        <v>3104.2000000000003</v>
      </c>
      <c r="AR84" s="15" t="str">
        <f t="shared" si="18"/>
        <v/>
      </c>
      <c r="AS84" s="14"/>
    </row>
    <row r="85" spans="1:45" x14ac:dyDescent="0.25">
      <c r="A85" s="15"/>
      <c r="B85" s="15"/>
      <c r="C85" s="43" t="s">
        <v>158</v>
      </c>
      <c r="D85" s="18"/>
      <c r="E85" s="104">
        <v>4.75</v>
      </c>
      <c r="F85" s="15" t="s">
        <v>153</v>
      </c>
      <c r="G85" s="15"/>
      <c r="H85" s="15"/>
      <c r="I85" s="15"/>
      <c r="J85" s="15"/>
      <c r="K85" s="85">
        <f>E85*((D6-(D6*D8))+(D6/100*H6-(D6/100*H6*H8)))</f>
        <v>4693</v>
      </c>
      <c r="L85" s="15"/>
      <c r="M85" s="14"/>
      <c r="N85" s="14"/>
      <c r="AA85" s="13">
        <f t="shared" si="16"/>
        <v>4.6929999999999996</v>
      </c>
      <c r="AB85" s="43" t="s">
        <v>158</v>
      </c>
      <c r="AG85" s="15"/>
      <c r="AH85" s="15"/>
      <c r="AI85" s="43" t="s">
        <v>158</v>
      </c>
      <c r="AJ85" s="18"/>
      <c r="AK85" s="104">
        <f t="shared" si="17"/>
        <v>4.75</v>
      </c>
      <c r="AL85" s="15" t="s">
        <v>153</v>
      </c>
      <c r="AM85" s="15"/>
      <c r="AN85" s="15"/>
      <c r="AO85" s="15"/>
      <c r="AP85" s="15"/>
      <c r="AQ85" s="85">
        <f>AK85*((AJ6-(AJ6*AJ8))+(AJ6/100*AN6-(AJ6/100*AN6*AN8)))</f>
        <v>4693</v>
      </c>
      <c r="AR85" s="15" t="str">
        <f t="shared" si="18"/>
        <v/>
      </c>
      <c r="AS85" s="14"/>
    </row>
    <row r="86" spans="1:45" x14ac:dyDescent="0.25">
      <c r="A86" s="15"/>
      <c r="B86" s="15"/>
      <c r="C86" s="43" t="s">
        <v>159</v>
      </c>
      <c r="D86" s="18"/>
      <c r="E86" s="104">
        <v>4.75</v>
      </c>
      <c r="F86" s="15" t="s">
        <v>153</v>
      </c>
      <c r="G86" s="15"/>
      <c r="H86" s="15"/>
      <c r="I86" s="15"/>
      <c r="J86" s="15"/>
      <c r="K86" s="85">
        <f>E86*(D6*D13-(D6*D13*D14))*D17</f>
        <v>5333.7749999999996</v>
      </c>
      <c r="L86" s="15"/>
      <c r="M86" s="14"/>
      <c r="N86" s="14"/>
      <c r="AA86" s="13">
        <f t="shared" si="16"/>
        <v>5.3337749999999993</v>
      </c>
      <c r="AB86" s="43" t="s">
        <v>159</v>
      </c>
      <c r="AG86" s="15"/>
      <c r="AH86" s="15"/>
      <c r="AI86" s="43" t="s">
        <v>159</v>
      </c>
      <c r="AJ86" s="18"/>
      <c r="AK86" s="104">
        <f t="shared" si="17"/>
        <v>4.75</v>
      </c>
      <c r="AL86" s="15" t="s">
        <v>153</v>
      </c>
      <c r="AM86" s="15"/>
      <c r="AN86" s="15"/>
      <c r="AO86" s="15"/>
      <c r="AP86" s="15"/>
      <c r="AQ86" s="85">
        <f>AK86*(AJ6*AJ13-(AJ6*AJ13*AJ14))*AJ17</f>
        <v>5333.7749999999996</v>
      </c>
      <c r="AR86" s="15" t="str">
        <f t="shared" si="18"/>
        <v/>
      </c>
      <c r="AS86" s="14"/>
    </row>
    <row r="87" spans="1:45" x14ac:dyDescent="0.25">
      <c r="A87" s="15"/>
      <c r="B87" s="290"/>
      <c r="C87" s="43" t="s">
        <v>160</v>
      </c>
      <c r="D87" s="18"/>
      <c r="E87" s="104">
        <v>1000</v>
      </c>
      <c r="F87" s="15" t="s">
        <v>161</v>
      </c>
      <c r="G87" s="15"/>
      <c r="H87" s="105">
        <v>8</v>
      </c>
      <c r="I87" s="15" t="s">
        <v>162</v>
      </c>
      <c r="J87" s="15"/>
      <c r="K87" s="85">
        <f>E87*H87</f>
        <v>8000</v>
      </c>
      <c r="L87" s="15"/>
      <c r="M87" s="14"/>
      <c r="N87" s="14"/>
      <c r="AA87" s="106">
        <f>K86/$D$6</f>
        <v>5.3337749999999993</v>
      </c>
      <c r="AB87" s="43" t="str">
        <f>C87</f>
        <v>Guardian dogs</v>
      </c>
      <c r="AG87" s="15"/>
      <c r="AH87" s="15"/>
      <c r="AI87" s="43" t="s">
        <v>160</v>
      </c>
      <c r="AJ87" s="18"/>
      <c r="AK87" s="104">
        <f t="shared" si="17"/>
        <v>1000</v>
      </c>
      <c r="AL87" s="15" t="s">
        <v>161</v>
      </c>
      <c r="AM87" s="15"/>
      <c r="AN87" s="105">
        <f>H87</f>
        <v>8</v>
      </c>
      <c r="AO87" s="15" t="s">
        <v>162</v>
      </c>
      <c r="AP87" s="15"/>
      <c r="AQ87" s="85">
        <f>AK87*AN87</f>
        <v>8000</v>
      </c>
      <c r="AR87" s="15" t="str">
        <f t="shared" si="18"/>
        <v/>
      </c>
      <c r="AS87" s="14"/>
    </row>
    <row r="88" spans="1:45" x14ac:dyDescent="0.25">
      <c r="A88" s="15"/>
      <c r="B88" s="291"/>
      <c r="C88" s="43" t="s">
        <v>163</v>
      </c>
      <c r="D88" s="18"/>
      <c r="E88" s="104">
        <v>5.8</v>
      </c>
      <c r="F88" s="15" t="s">
        <v>151</v>
      </c>
      <c r="G88" s="15"/>
      <c r="H88" s="15"/>
      <c r="I88" s="15"/>
      <c r="J88" s="15"/>
      <c r="K88" s="85">
        <f>E88*$D$6</f>
        <v>5800</v>
      </c>
      <c r="L88" s="15"/>
      <c r="M88" s="14"/>
      <c r="N88" s="14"/>
      <c r="AA88" s="13">
        <f t="shared" ref="AA88:AA96" si="19">K88/$D$6</f>
        <v>5.8</v>
      </c>
      <c r="AB88" s="43" t="s">
        <v>163</v>
      </c>
      <c r="AG88" s="15"/>
      <c r="AH88" s="15"/>
      <c r="AI88" s="43" t="s">
        <v>163</v>
      </c>
      <c r="AJ88" s="18"/>
      <c r="AK88" s="104">
        <f t="shared" si="17"/>
        <v>5.8</v>
      </c>
      <c r="AL88" s="15" t="s">
        <v>151</v>
      </c>
      <c r="AM88" s="15"/>
      <c r="AN88" s="15"/>
      <c r="AO88" s="15"/>
      <c r="AP88" s="15"/>
      <c r="AQ88" s="85">
        <f>AK88*$D$6</f>
        <v>5800</v>
      </c>
      <c r="AR88" s="15" t="str">
        <f t="shared" si="18"/>
        <v/>
      </c>
      <c r="AS88" s="14"/>
    </row>
    <row r="89" spans="1:45" x14ac:dyDescent="0.25">
      <c r="A89" s="15"/>
      <c r="B89" s="291"/>
      <c r="C89" s="43" t="s">
        <v>164</v>
      </c>
      <c r="D89" s="18"/>
      <c r="E89" s="104">
        <v>3.15</v>
      </c>
      <c r="F89" s="15" t="s">
        <v>151</v>
      </c>
      <c r="G89" s="15"/>
      <c r="H89" s="15"/>
      <c r="I89" s="15"/>
      <c r="J89" s="15"/>
      <c r="K89" s="85">
        <f>E89*$D$6</f>
        <v>3150</v>
      </c>
      <c r="L89" s="15"/>
      <c r="M89" s="14"/>
      <c r="N89" s="14"/>
      <c r="AA89" s="13">
        <f t="shared" si="19"/>
        <v>3.15</v>
      </c>
      <c r="AB89" s="43" t="s">
        <v>164</v>
      </c>
      <c r="AG89" s="15"/>
      <c r="AH89" s="15"/>
      <c r="AI89" s="43" t="s">
        <v>164</v>
      </c>
      <c r="AJ89" s="18"/>
      <c r="AK89" s="107">
        <f t="shared" si="17"/>
        <v>3.15</v>
      </c>
      <c r="AL89" s="15" t="s">
        <v>151</v>
      </c>
      <c r="AM89" s="15"/>
      <c r="AN89" s="15"/>
      <c r="AO89" s="15"/>
      <c r="AP89" s="15"/>
      <c r="AQ89" s="85">
        <f>AK89*$D$6</f>
        <v>3150</v>
      </c>
      <c r="AR89" s="15" t="str">
        <f t="shared" si="18"/>
        <v/>
      </c>
      <c r="AS89" s="14"/>
    </row>
    <row r="90" spans="1:45" x14ac:dyDescent="0.25">
      <c r="A90" s="15"/>
      <c r="B90" s="291"/>
      <c r="C90" s="43" t="s">
        <v>165</v>
      </c>
      <c r="D90" s="18"/>
      <c r="E90" s="104">
        <v>4.5</v>
      </c>
      <c r="F90" s="15" t="s">
        <v>151</v>
      </c>
      <c r="G90" s="15"/>
      <c r="H90" s="15"/>
      <c r="I90" s="15"/>
      <c r="J90" s="15"/>
      <c r="K90" s="85">
        <f>E90*$D$6</f>
        <v>4500</v>
      </c>
      <c r="L90" s="15"/>
      <c r="M90" s="14"/>
      <c r="N90" s="14"/>
      <c r="AA90" s="13">
        <f t="shared" si="19"/>
        <v>4.5</v>
      </c>
      <c r="AB90" s="43" t="s">
        <v>165</v>
      </c>
      <c r="AG90" s="15"/>
      <c r="AH90" s="15"/>
      <c r="AI90" s="43" t="s">
        <v>165</v>
      </c>
      <c r="AJ90" s="18"/>
      <c r="AK90" s="108">
        <f t="shared" si="17"/>
        <v>4.5</v>
      </c>
      <c r="AL90" s="15" t="s">
        <v>151</v>
      </c>
      <c r="AM90" s="15"/>
      <c r="AN90" s="15"/>
      <c r="AO90" s="15"/>
      <c r="AP90" s="15"/>
      <c r="AQ90" s="85">
        <f>AK90*$D$6</f>
        <v>4500</v>
      </c>
      <c r="AR90" s="15" t="str">
        <f t="shared" si="18"/>
        <v/>
      </c>
      <c r="AS90" s="14"/>
    </row>
    <row r="91" spans="1:45" x14ac:dyDescent="0.25">
      <c r="A91" s="15"/>
      <c r="B91" s="291"/>
      <c r="C91" s="43" t="s">
        <v>166</v>
      </c>
      <c r="D91" s="18"/>
      <c r="E91" s="107">
        <v>6.8</v>
      </c>
      <c r="F91" s="15" t="s">
        <v>151</v>
      </c>
      <c r="G91" s="15"/>
      <c r="H91" s="15"/>
      <c r="I91" s="15"/>
      <c r="J91" s="15"/>
      <c r="K91" s="85">
        <f>E91*$D$6</f>
        <v>6800</v>
      </c>
      <c r="L91" s="15"/>
      <c r="M91" s="14"/>
      <c r="N91" s="14"/>
      <c r="AA91" s="13">
        <f t="shared" si="19"/>
        <v>6.8</v>
      </c>
      <c r="AB91" s="43" t="s">
        <v>166</v>
      </c>
      <c r="AG91" s="15"/>
      <c r="AH91" s="15"/>
      <c r="AI91" s="43" t="s">
        <v>166</v>
      </c>
      <c r="AJ91" s="18"/>
      <c r="AK91" s="109">
        <f t="shared" si="17"/>
        <v>6.8</v>
      </c>
      <c r="AL91" s="15" t="s">
        <v>151</v>
      </c>
      <c r="AM91" s="15"/>
      <c r="AN91" s="15"/>
      <c r="AO91" s="15"/>
      <c r="AP91" s="15"/>
      <c r="AQ91" s="85">
        <f>AK91*$D$6</f>
        <v>6800</v>
      </c>
      <c r="AR91" s="15" t="str">
        <f t="shared" si="18"/>
        <v/>
      </c>
      <c r="AS91" s="14"/>
    </row>
    <row r="92" spans="1:45" ht="18.75" x14ac:dyDescent="0.25">
      <c r="A92" s="15"/>
      <c r="B92" s="290"/>
      <c r="C92" s="43" t="s">
        <v>167</v>
      </c>
      <c r="D92" s="18"/>
      <c r="E92" s="110">
        <v>8.1999999999999993</v>
      </c>
      <c r="F92" s="15" t="s">
        <v>168</v>
      </c>
      <c r="G92" s="15"/>
      <c r="H92" s="45">
        <v>4</v>
      </c>
      <c r="I92" s="15" t="s">
        <v>169</v>
      </c>
      <c r="J92" s="15"/>
      <c r="K92" s="85">
        <f>((0.5*(K78)+K80+K85+K86+K88+K89+K90+K91+K36+K37)*E92/100)*H92/12</f>
        <v>3936.5400278191114</v>
      </c>
      <c r="L92" s="15"/>
      <c r="M92" s="14"/>
      <c r="N92" s="14"/>
      <c r="AA92" s="13">
        <f t="shared" si="19"/>
        <v>3.9365400278191114</v>
      </c>
      <c r="AB92" s="43" t="s">
        <v>167</v>
      </c>
      <c r="AG92" s="15"/>
      <c r="AH92" s="15"/>
      <c r="AI92" s="43" t="s">
        <v>167</v>
      </c>
      <c r="AJ92" s="18"/>
      <c r="AK92" s="110">
        <f t="shared" si="17"/>
        <v>8.1999999999999993</v>
      </c>
      <c r="AL92" s="15" t="s">
        <v>168</v>
      </c>
      <c r="AM92" s="15"/>
      <c r="AN92" s="45">
        <f>H92</f>
        <v>4</v>
      </c>
      <c r="AO92" s="15" t="s">
        <v>169</v>
      </c>
      <c r="AP92" s="15"/>
      <c r="AQ92" s="85">
        <f>((0.5*(AQ78)+AQ80+AQ85+AQ86+AQ88+AQ89+AQ90+AQ91+AQ36+AQ37)*AK92/100)*AN92/12</f>
        <v>3720.261437760239</v>
      </c>
      <c r="AR92" s="15" t="str">
        <f t="shared" si="18"/>
        <v>hey</v>
      </c>
      <c r="AS92" s="14"/>
    </row>
    <row r="93" spans="1:45" ht="16.5" thickBot="1" x14ac:dyDescent="0.3">
      <c r="A93" s="15"/>
      <c r="B93" s="15"/>
      <c r="C93" s="15"/>
      <c r="D93" s="18"/>
      <c r="E93" s="15"/>
      <c r="F93" s="15"/>
      <c r="G93" s="15"/>
      <c r="H93" s="15"/>
      <c r="I93" s="15"/>
      <c r="J93" s="15"/>
      <c r="K93" s="15"/>
      <c r="L93" s="15"/>
      <c r="M93" s="14"/>
      <c r="N93" s="14"/>
      <c r="AA93" s="13">
        <f t="shared" si="19"/>
        <v>0</v>
      </c>
      <c r="AG93" s="15"/>
      <c r="AH93" s="15"/>
      <c r="AI93" s="15"/>
      <c r="AJ93" s="18"/>
      <c r="AK93" s="15"/>
      <c r="AL93" s="15"/>
      <c r="AM93" s="15"/>
      <c r="AN93" s="15"/>
      <c r="AO93" s="15"/>
      <c r="AP93" s="15"/>
      <c r="AQ93" s="15"/>
      <c r="AR93" s="15"/>
      <c r="AS93" s="14"/>
    </row>
    <row r="94" spans="1:45" ht="16.5" thickBot="1" x14ac:dyDescent="0.3">
      <c r="A94" s="111"/>
      <c r="B94" s="15"/>
      <c r="C94" s="15"/>
      <c r="D94" s="18"/>
      <c r="E94" s="15"/>
      <c r="F94" s="238"/>
      <c r="G94" s="238" t="s">
        <v>170</v>
      </c>
      <c r="H94" s="239"/>
      <c r="I94" s="100"/>
      <c r="J94" s="100"/>
      <c r="K94" s="101">
        <f>SUM(K78:K92,K36:K37)</f>
        <v>276277.96425848582</v>
      </c>
      <c r="L94" s="71"/>
      <c r="M94" s="14"/>
      <c r="N94" s="14"/>
      <c r="AA94" s="13">
        <f t="shared" si="19"/>
        <v>276.27796425848584</v>
      </c>
      <c r="AB94" s="13" t="s">
        <v>171</v>
      </c>
      <c r="AG94" s="111"/>
      <c r="AH94" s="15"/>
      <c r="AI94" s="15"/>
      <c r="AJ94" s="18"/>
      <c r="AK94" s="15"/>
      <c r="AL94" s="238"/>
      <c r="AM94" s="238" t="s">
        <v>170</v>
      </c>
      <c r="AN94" s="239"/>
      <c r="AO94" s="100"/>
      <c r="AP94" s="100"/>
      <c r="AQ94" s="101">
        <f>SUM(AQ78:AQ92,AQ36:AQ37)</f>
        <v>260236.42298119245</v>
      </c>
      <c r="AR94" s="71">
        <f>AQ94/AJ6</f>
        <v>260.23642298119245</v>
      </c>
      <c r="AS94" s="14"/>
    </row>
    <row r="95" spans="1:45" ht="16.5" thickBot="1" x14ac:dyDescent="0.3">
      <c r="A95" s="15"/>
      <c r="B95" s="15"/>
      <c r="C95" s="15"/>
      <c r="D95" s="18"/>
      <c r="E95" s="15"/>
      <c r="F95" s="15"/>
      <c r="G95" s="15"/>
      <c r="H95" s="15"/>
      <c r="I95" s="15"/>
      <c r="J95" s="15"/>
      <c r="K95" s="15"/>
      <c r="L95" s="15"/>
      <c r="M95" s="14"/>
      <c r="N95" s="14"/>
      <c r="AA95" s="13">
        <f t="shared" si="19"/>
        <v>0</v>
      </c>
      <c r="AG95" s="15"/>
      <c r="AH95" s="15"/>
      <c r="AI95" s="15"/>
      <c r="AJ95" s="18"/>
      <c r="AK95" s="15"/>
      <c r="AL95" s="15"/>
      <c r="AM95" s="15"/>
      <c r="AN95" s="15"/>
      <c r="AO95" s="15"/>
      <c r="AP95" s="15"/>
      <c r="AQ95" s="15"/>
      <c r="AR95" s="15"/>
      <c r="AS95" s="14"/>
    </row>
    <row r="96" spans="1:45" ht="16.5" thickBot="1" x14ac:dyDescent="0.3">
      <c r="A96" s="15"/>
      <c r="B96" s="15"/>
      <c r="C96" s="15"/>
      <c r="D96" s="240" t="s">
        <v>172</v>
      </c>
      <c r="E96" s="241"/>
      <c r="F96" s="241"/>
      <c r="G96" s="241"/>
      <c r="H96" s="241"/>
      <c r="I96" s="241"/>
      <c r="J96" s="241"/>
      <c r="K96" s="259">
        <f>K33-K94</f>
        <v>38174.31738151412</v>
      </c>
      <c r="L96" s="15"/>
      <c r="M96" s="14"/>
      <c r="N96" s="14"/>
      <c r="AA96" s="13">
        <f t="shared" si="19"/>
        <v>38.174317381514122</v>
      </c>
      <c r="AB96" s="13" t="s">
        <v>173</v>
      </c>
      <c r="AG96" s="15"/>
      <c r="AH96" s="15"/>
      <c r="AI96" s="15"/>
      <c r="AJ96" s="240" t="s">
        <v>172</v>
      </c>
      <c r="AK96" s="241"/>
      <c r="AL96" s="241"/>
      <c r="AM96" s="241"/>
      <c r="AN96" s="241"/>
      <c r="AO96" s="241"/>
      <c r="AP96" s="241"/>
      <c r="AQ96" s="259">
        <f>AQ33-AQ94</f>
        <v>54215.858658807498</v>
      </c>
      <c r="AR96" s="15"/>
      <c r="AS96" s="14"/>
    </row>
    <row r="97" spans="1:45" x14ac:dyDescent="0.25">
      <c r="A97" s="15"/>
      <c r="B97" s="15"/>
      <c r="C97" s="15"/>
      <c r="D97" s="245"/>
      <c r="E97" s="112"/>
      <c r="F97" s="112"/>
      <c r="G97" s="112"/>
      <c r="H97" s="245" t="s">
        <v>174</v>
      </c>
      <c r="I97" s="260">
        <f>AA7</f>
        <v>2.8342307692307691</v>
      </c>
      <c r="J97" s="112" t="s">
        <v>175</v>
      </c>
      <c r="K97" s="113">
        <f>K96/D6</f>
        <v>38.174317381514122</v>
      </c>
      <c r="L97" s="15"/>
      <c r="M97" s="14"/>
      <c r="N97" s="14"/>
      <c r="AG97" s="15"/>
      <c r="AH97" s="15"/>
      <c r="AI97" s="15"/>
      <c r="AJ97" s="245"/>
      <c r="AK97" s="112"/>
      <c r="AL97" s="112"/>
      <c r="AM97" s="112"/>
      <c r="AN97" s="245" t="s">
        <v>174</v>
      </c>
      <c r="AO97" s="260">
        <f>BG7</f>
        <v>0</v>
      </c>
      <c r="AP97" s="112" t="s">
        <v>175</v>
      </c>
      <c r="AQ97" s="113">
        <f>AQ96/AJ6</f>
        <v>54.215858658807498</v>
      </c>
      <c r="AR97" s="15"/>
      <c r="AS97" s="14"/>
    </row>
    <row r="98" spans="1:45" ht="13.9" customHeight="1" x14ac:dyDescent="0.25">
      <c r="A98" s="15"/>
      <c r="B98" s="15"/>
      <c r="C98" s="15"/>
      <c r="D98" s="112"/>
      <c r="E98" s="112"/>
      <c r="F98" s="112"/>
      <c r="G98" s="112"/>
      <c r="H98" s="112"/>
      <c r="I98" s="112"/>
      <c r="J98" s="112"/>
      <c r="K98" s="114"/>
      <c r="L98" s="15"/>
      <c r="M98" s="14"/>
      <c r="N98" s="14"/>
      <c r="AG98" s="15"/>
      <c r="AH98" s="15"/>
      <c r="AI98" s="15"/>
      <c r="AJ98" s="112"/>
      <c r="AK98" s="112"/>
      <c r="AL98" s="112"/>
      <c r="AM98" s="112"/>
      <c r="AN98" s="112"/>
      <c r="AO98" s="112"/>
      <c r="AP98" s="112"/>
      <c r="AQ98" s="114"/>
      <c r="AR98" s="15"/>
      <c r="AS98" s="14"/>
    </row>
    <row r="99" spans="1:45" x14ac:dyDescent="0.25">
      <c r="A99" s="15"/>
      <c r="B99" s="15"/>
      <c r="C99" s="246"/>
      <c r="D99" s="246"/>
      <c r="E99" s="246" t="s">
        <v>176</v>
      </c>
      <c r="F99" s="112"/>
      <c r="G99" s="246"/>
      <c r="H99" s="246" t="s">
        <v>177</v>
      </c>
      <c r="I99" s="115">
        <v>2.5</v>
      </c>
      <c r="J99" s="116" t="s">
        <v>178</v>
      </c>
      <c r="K99" s="113">
        <f>((I99*$H$17*$AA$8)+SUM($K$28:$K$31)-$K$94)/$D$6</f>
        <v>5.3169407415141468</v>
      </c>
      <c r="L99" s="15"/>
      <c r="M99" s="14"/>
      <c r="N99" s="14"/>
      <c r="AG99" s="15"/>
      <c r="AH99" s="15"/>
      <c r="AI99" s="246"/>
      <c r="AJ99" s="246"/>
      <c r="AK99" s="246" t="s">
        <v>176</v>
      </c>
      <c r="AL99" s="112"/>
      <c r="AM99" s="246"/>
      <c r="AN99" s="246" t="s">
        <v>177</v>
      </c>
      <c r="AO99" s="115">
        <f>I99</f>
        <v>2.5</v>
      </c>
      <c r="AP99" s="116" t="s">
        <v>178</v>
      </c>
      <c r="AQ99" s="113">
        <f>((AO99*$H$17*$AA$8)+SUM($K$28:$K$31)-$K$94)/$D$6</f>
        <v>5.3169407415141468</v>
      </c>
      <c r="AR99" s="15"/>
      <c r="AS99" s="14"/>
    </row>
    <row r="100" spans="1:45" x14ac:dyDescent="0.25">
      <c r="A100" s="15"/>
      <c r="B100" s="15"/>
      <c r="C100" s="15"/>
      <c r="D100" s="112"/>
      <c r="E100" s="112"/>
      <c r="F100" s="112"/>
      <c r="G100" s="112"/>
      <c r="H100" s="15"/>
      <c r="I100" s="115">
        <v>2.8</v>
      </c>
      <c r="J100" s="116" t="s">
        <v>178</v>
      </c>
      <c r="K100" s="113">
        <f>((I100*$H$17*$AA$8)+SUM($K$28:$K$31)-$K$94)/$D$6</f>
        <v>34.809177541514103</v>
      </c>
      <c r="L100" s="15"/>
      <c r="M100" s="14"/>
      <c r="N100" s="14"/>
      <c r="AG100" s="15"/>
      <c r="AH100" s="15"/>
      <c r="AI100" s="15"/>
      <c r="AJ100" s="112"/>
      <c r="AK100" s="112"/>
      <c r="AL100" s="112"/>
      <c r="AM100" s="112"/>
      <c r="AN100" s="15"/>
      <c r="AO100" s="115">
        <f>I100</f>
        <v>2.8</v>
      </c>
      <c r="AP100" s="116" t="s">
        <v>178</v>
      </c>
      <c r="AQ100" s="113">
        <f>((AO100*$H$17*$AA$8)+SUM($K$28:$K$31)-$K$94)/$D$6</f>
        <v>34.809177541514103</v>
      </c>
      <c r="AR100" s="15"/>
      <c r="AS100" s="14"/>
    </row>
    <row r="101" spans="1:45" ht="13.5" customHeight="1" x14ac:dyDescent="0.25">
      <c r="A101" s="15"/>
      <c r="B101" s="15"/>
      <c r="C101" s="15"/>
      <c r="D101" s="18"/>
      <c r="E101" s="15"/>
      <c r="F101" s="15"/>
      <c r="G101" s="15"/>
      <c r="H101" s="15"/>
      <c r="I101" s="117">
        <v>3</v>
      </c>
      <c r="J101" s="116" t="s">
        <v>178</v>
      </c>
      <c r="K101" s="113">
        <f>((I101*$H$17*$AA$8)+SUM($K$28:$K$31)-$K$94)/$D$6</f>
        <v>54.470668741514153</v>
      </c>
      <c r="L101" s="15"/>
      <c r="M101" s="14"/>
      <c r="N101" s="14"/>
      <c r="AG101" s="15"/>
      <c r="AH101" s="15"/>
      <c r="AI101" s="15"/>
      <c r="AJ101" s="18"/>
      <c r="AK101" s="15"/>
      <c r="AL101" s="15"/>
      <c r="AM101" s="15"/>
      <c r="AN101" s="15"/>
      <c r="AO101" s="117">
        <f>I101</f>
        <v>3</v>
      </c>
      <c r="AP101" s="116" t="s">
        <v>178</v>
      </c>
      <c r="AQ101" s="113">
        <f>((AO101*$H$17*$AA$8)+SUM($K$28:$K$31)-$K$94)/$D$6</f>
        <v>54.470668741514153</v>
      </c>
      <c r="AR101" s="15"/>
      <c r="AS101" s="14"/>
    </row>
    <row r="102" spans="1:45" x14ac:dyDescent="0.25">
      <c r="A102" s="15"/>
      <c r="B102" s="15"/>
      <c r="C102" s="246"/>
      <c r="D102" s="246"/>
      <c r="E102" s="246"/>
      <c r="F102" s="15"/>
      <c r="G102" s="15"/>
      <c r="H102" s="15"/>
      <c r="I102" s="15"/>
      <c r="J102" s="15"/>
      <c r="K102" s="118"/>
      <c r="L102" s="15"/>
      <c r="M102" s="14"/>
      <c r="N102" s="14"/>
      <c r="Y102" s="13" t="s">
        <v>179</v>
      </c>
      <c r="AG102" s="15"/>
      <c r="AH102" s="15"/>
      <c r="AI102" s="246"/>
      <c r="AJ102" s="246"/>
      <c r="AK102" s="246"/>
      <c r="AL102" s="15"/>
      <c r="AM102" s="15"/>
      <c r="AN102" s="15"/>
      <c r="AO102" s="15"/>
      <c r="AP102" s="15"/>
      <c r="AQ102" s="118"/>
      <c r="AR102" s="15"/>
      <c r="AS102" s="14"/>
    </row>
    <row r="103" spans="1:45" ht="19.5" customHeight="1" x14ac:dyDescent="0.2">
      <c r="A103" s="242" t="s">
        <v>180</v>
      </c>
      <c r="B103" s="242"/>
      <c r="C103" s="242"/>
      <c r="D103" s="242"/>
      <c r="E103" s="242"/>
      <c r="F103" s="242"/>
      <c r="G103" s="15"/>
      <c r="H103" s="15"/>
      <c r="I103" s="15"/>
      <c r="J103" s="15"/>
      <c r="K103" s="15"/>
      <c r="L103" s="15"/>
      <c r="M103" s="14"/>
      <c r="N103" s="14"/>
      <c r="Z103" s="13">
        <f>(D19-D18)/0.71</f>
        <v>30.985915492957748</v>
      </c>
      <c r="AG103" s="242" t="s">
        <v>180</v>
      </c>
      <c r="AH103" s="242"/>
      <c r="AI103" s="242"/>
      <c r="AJ103" s="242"/>
      <c r="AK103" s="242"/>
      <c r="AL103" s="242"/>
      <c r="AM103" s="15"/>
      <c r="AN103" s="15"/>
      <c r="AO103" s="15"/>
      <c r="AP103" s="15"/>
      <c r="AQ103" s="15"/>
      <c r="AR103" s="15"/>
      <c r="AS103" s="14"/>
    </row>
    <row r="104" spans="1:45" ht="21" customHeight="1" x14ac:dyDescent="0.2">
      <c r="A104" s="242" t="s">
        <v>181</v>
      </c>
      <c r="B104" s="242"/>
      <c r="C104" s="242"/>
      <c r="D104" s="242"/>
      <c r="E104" s="242"/>
      <c r="F104" s="242"/>
      <c r="G104" s="15"/>
      <c r="H104" s="15"/>
      <c r="I104" s="15"/>
      <c r="J104" s="15"/>
      <c r="K104" s="15"/>
      <c r="L104" s="15"/>
      <c r="M104" s="14"/>
      <c r="N104" s="14"/>
      <c r="AG104" s="242" t="s">
        <v>181</v>
      </c>
      <c r="AH104" s="242"/>
      <c r="AI104" s="242"/>
      <c r="AJ104" s="242"/>
      <c r="AK104" s="242"/>
      <c r="AL104" s="242"/>
      <c r="AM104" s="15"/>
      <c r="AN104" s="15"/>
      <c r="AO104" s="15"/>
      <c r="AP104" s="15"/>
      <c r="AQ104" s="15"/>
      <c r="AR104" s="15"/>
      <c r="AS104" s="14"/>
    </row>
    <row r="105" spans="1:45" ht="19.5" customHeight="1" x14ac:dyDescent="0.2">
      <c r="A105" s="242" t="s">
        <v>182</v>
      </c>
      <c r="B105" s="242"/>
      <c r="C105" s="242"/>
      <c r="D105" s="242"/>
      <c r="E105" s="242"/>
      <c r="F105" s="242"/>
      <c r="G105" s="242"/>
      <c r="H105" s="242"/>
      <c r="I105" s="242"/>
      <c r="J105" s="242"/>
      <c r="K105" s="15"/>
      <c r="L105" s="15"/>
      <c r="M105" s="14"/>
      <c r="N105" s="14"/>
      <c r="AG105" s="242" t="s">
        <v>182</v>
      </c>
      <c r="AH105" s="242"/>
      <c r="AI105" s="242"/>
      <c r="AJ105" s="242"/>
      <c r="AK105" s="242"/>
      <c r="AL105" s="242"/>
      <c r="AM105" s="242"/>
      <c r="AN105" s="242"/>
      <c r="AO105" s="242"/>
      <c r="AP105" s="242"/>
      <c r="AQ105" s="15"/>
      <c r="AR105" s="15"/>
      <c r="AS105" s="14"/>
    </row>
    <row r="106" spans="1:45" x14ac:dyDescent="0.25">
      <c r="A106" s="15"/>
      <c r="B106" s="15"/>
      <c r="C106" s="15"/>
      <c r="D106" s="18"/>
      <c r="E106" s="15"/>
      <c r="F106" s="15"/>
      <c r="G106" s="15"/>
      <c r="H106" s="15"/>
      <c r="I106" s="15"/>
      <c r="J106" s="15"/>
      <c r="K106" s="15"/>
      <c r="L106" s="15"/>
      <c r="M106" s="14"/>
      <c r="N106" s="14"/>
      <c r="AG106" s="15"/>
      <c r="AH106" s="15"/>
      <c r="AI106" s="15"/>
      <c r="AJ106" s="18"/>
      <c r="AK106" s="15"/>
      <c r="AL106" s="15"/>
      <c r="AM106" s="15"/>
      <c r="AN106" s="15"/>
      <c r="AO106" s="15"/>
      <c r="AP106" s="15"/>
      <c r="AQ106" s="15"/>
      <c r="AR106" s="15"/>
      <c r="AS106" s="14"/>
    </row>
    <row r="107" spans="1:45" ht="13.5" customHeight="1" x14ac:dyDescent="0.25">
      <c r="A107" s="15"/>
      <c r="B107" s="15"/>
      <c r="C107" s="15"/>
      <c r="D107" s="18"/>
      <c r="E107" s="15"/>
      <c r="F107" s="15"/>
      <c r="G107" s="15"/>
      <c r="H107" s="15"/>
      <c r="I107" s="15"/>
      <c r="J107" s="15"/>
      <c r="K107" s="15"/>
      <c r="L107" s="15" t="s">
        <v>183</v>
      </c>
      <c r="M107" s="14" t="s">
        <v>184</v>
      </c>
      <c r="N107" s="14"/>
      <c r="AG107" s="15"/>
      <c r="AH107" s="15"/>
      <c r="AI107" s="15"/>
      <c r="AJ107" s="18"/>
      <c r="AK107" s="15"/>
      <c r="AL107" s="15"/>
      <c r="AM107" s="15"/>
      <c r="AN107" s="15"/>
      <c r="AO107" s="15"/>
      <c r="AP107" s="15"/>
      <c r="AQ107" s="15"/>
      <c r="AR107" s="15" t="s">
        <v>183</v>
      </c>
      <c r="AS107" s="14" t="s">
        <v>184</v>
      </c>
    </row>
    <row r="108" spans="1:45" x14ac:dyDescent="0.25">
      <c r="A108" s="15"/>
      <c r="B108" s="119" t="s">
        <v>185</v>
      </c>
      <c r="C108" s="120"/>
      <c r="D108" s="121"/>
      <c r="E108" s="122"/>
      <c r="F108" s="122"/>
      <c r="G108" s="122"/>
      <c r="H108" s="122"/>
      <c r="I108" s="122"/>
      <c r="J108" s="123"/>
      <c r="K108" s="124" t="s">
        <v>186</v>
      </c>
      <c r="L108" s="124">
        <f>D6-(D6*(D7+D8))</f>
        <v>820</v>
      </c>
      <c r="M108" s="125">
        <f>D6/100*H6</f>
        <v>20</v>
      </c>
      <c r="N108" s="14"/>
      <c r="AG108" s="15"/>
      <c r="AH108" s="119" t="s">
        <v>185</v>
      </c>
      <c r="AI108" s="120"/>
      <c r="AJ108" s="121"/>
      <c r="AK108" s="122"/>
      <c r="AL108" s="122"/>
      <c r="AM108" s="122"/>
      <c r="AN108" s="122"/>
      <c r="AO108" s="122"/>
      <c r="AP108" s="123"/>
      <c r="AQ108" s="124" t="s">
        <v>186</v>
      </c>
      <c r="AR108" s="124">
        <f>AJ6-(AJ6*(AJ7+AJ8))</f>
        <v>820</v>
      </c>
      <c r="AS108" s="125">
        <f>AJ6/100*AN6</f>
        <v>20</v>
      </c>
    </row>
    <row r="109" spans="1:45" ht="12.75" customHeight="1" x14ac:dyDescent="0.2">
      <c r="A109" s="15"/>
      <c r="B109" s="126"/>
      <c r="C109" s="127"/>
      <c r="D109" s="128" t="s">
        <v>183</v>
      </c>
      <c r="E109" s="128" t="s">
        <v>187</v>
      </c>
      <c r="F109" s="128" t="s">
        <v>183</v>
      </c>
      <c r="G109" s="129" t="s">
        <v>183</v>
      </c>
      <c r="H109" s="128" t="s">
        <v>183</v>
      </c>
      <c r="I109" s="128" t="s">
        <v>184</v>
      </c>
      <c r="J109" s="128" t="s">
        <v>184</v>
      </c>
      <c r="K109" s="128" t="s">
        <v>184</v>
      </c>
      <c r="L109" s="130" t="s">
        <v>90</v>
      </c>
      <c r="M109" s="130" t="s">
        <v>188</v>
      </c>
      <c r="N109" s="14"/>
      <c r="AG109" s="15"/>
      <c r="AH109" s="126"/>
      <c r="AI109" s="127"/>
      <c r="AJ109" s="128" t="s">
        <v>183</v>
      </c>
      <c r="AK109" s="128" t="s">
        <v>187</v>
      </c>
      <c r="AL109" s="128" t="s">
        <v>183</v>
      </c>
      <c r="AM109" s="129" t="s">
        <v>183</v>
      </c>
      <c r="AN109" s="128" t="s">
        <v>183</v>
      </c>
      <c r="AO109" s="128" t="s">
        <v>184</v>
      </c>
      <c r="AP109" s="128" t="s">
        <v>184</v>
      </c>
      <c r="AQ109" s="128" t="s">
        <v>184</v>
      </c>
      <c r="AR109" s="130" t="s">
        <v>90</v>
      </c>
      <c r="AS109" s="130" t="s">
        <v>188</v>
      </c>
    </row>
    <row r="110" spans="1:45" ht="15" x14ac:dyDescent="0.2">
      <c r="A110" s="15"/>
      <c r="B110" s="126"/>
      <c r="C110" s="127"/>
      <c r="D110" s="131" t="s">
        <v>189</v>
      </c>
      <c r="E110" s="131" t="s">
        <v>190</v>
      </c>
      <c r="F110" s="131" t="s">
        <v>191</v>
      </c>
      <c r="G110" s="132" t="s">
        <v>192</v>
      </c>
      <c r="H110" s="131" t="s">
        <v>193</v>
      </c>
      <c r="I110" s="131" t="s">
        <v>194</v>
      </c>
      <c r="J110" s="131" t="s">
        <v>195</v>
      </c>
      <c r="K110" s="131" t="s">
        <v>196</v>
      </c>
      <c r="L110" s="133" t="s">
        <v>197</v>
      </c>
      <c r="M110" s="133" t="s">
        <v>198</v>
      </c>
      <c r="N110" s="14"/>
      <c r="AG110" s="15"/>
      <c r="AH110" s="126"/>
      <c r="AI110" s="127"/>
      <c r="AJ110" s="131" t="s">
        <v>189</v>
      </c>
      <c r="AK110" s="131" t="s">
        <v>190</v>
      </c>
      <c r="AL110" s="131" t="s">
        <v>191</v>
      </c>
      <c r="AM110" s="132" t="s">
        <v>192</v>
      </c>
      <c r="AN110" s="131" t="s">
        <v>193</v>
      </c>
      <c r="AO110" s="131" t="s">
        <v>194</v>
      </c>
      <c r="AP110" s="131" t="s">
        <v>195</v>
      </c>
      <c r="AQ110" s="131" t="s">
        <v>196</v>
      </c>
      <c r="AR110" s="133" t="s">
        <v>197</v>
      </c>
      <c r="AS110" s="133" t="s">
        <v>198</v>
      </c>
    </row>
    <row r="111" spans="1:45" x14ac:dyDescent="0.25">
      <c r="A111" s="15"/>
      <c r="B111" s="126"/>
      <c r="C111" s="134" t="s">
        <v>199</v>
      </c>
      <c r="D111" s="135">
        <v>85</v>
      </c>
      <c r="E111" s="135">
        <v>30</v>
      </c>
      <c r="F111" s="136">
        <v>100</v>
      </c>
      <c r="G111" s="135">
        <v>105</v>
      </c>
      <c r="H111" s="136">
        <v>45</v>
      </c>
      <c r="I111" s="137">
        <v>45</v>
      </c>
      <c r="J111" s="138">
        <v>115</v>
      </c>
      <c r="K111" s="138">
        <v>205</v>
      </c>
      <c r="L111" s="139" t="s">
        <v>200</v>
      </c>
      <c r="M111" s="139" t="s">
        <v>201</v>
      </c>
      <c r="N111" s="14"/>
      <c r="AG111" s="15"/>
      <c r="AH111" s="126"/>
      <c r="AI111" s="134" t="s">
        <v>199</v>
      </c>
      <c r="AJ111" s="135">
        <f t="shared" ref="AJ111:AQ111" si="20">D111</f>
        <v>85</v>
      </c>
      <c r="AK111" s="135">
        <f t="shared" si="20"/>
        <v>30</v>
      </c>
      <c r="AL111" s="136">
        <f t="shared" si="20"/>
        <v>100</v>
      </c>
      <c r="AM111" s="135">
        <f t="shared" si="20"/>
        <v>105</v>
      </c>
      <c r="AN111" s="136">
        <f t="shared" si="20"/>
        <v>45</v>
      </c>
      <c r="AO111" s="137">
        <f t="shared" si="20"/>
        <v>45</v>
      </c>
      <c r="AP111" s="138">
        <f t="shared" si="20"/>
        <v>115</v>
      </c>
      <c r="AQ111" s="138">
        <f t="shared" si="20"/>
        <v>205</v>
      </c>
      <c r="AR111" s="139" t="s">
        <v>200</v>
      </c>
      <c r="AS111" s="139" t="s">
        <v>201</v>
      </c>
    </row>
    <row r="112" spans="1:45" x14ac:dyDescent="0.25">
      <c r="A112" s="15"/>
      <c r="B112" s="140" t="s">
        <v>202</v>
      </c>
      <c r="C112" s="141"/>
      <c r="D112" s="142" t="s">
        <v>203</v>
      </c>
      <c r="E112" s="143"/>
      <c r="F112" s="143"/>
      <c r="G112" s="143"/>
      <c r="H112" s="143"/>
      <c r="I112" s="143"/>
      <c r="J112" s="144"/>
      <c r="K112" s="144"/>
      <c r="L112" s="127"/>
      <c r="M112" s="145"/>
      <c r="N112" s="14"/>
      <c r="AG112" s="15"/>
      <c r="AH112" s="140" t="s">
        <v>202</v>
      </c>
      <c r="AI112" s="141"/>
      <c r="AJ112" s="142" t="s">
        <v>203</v>
      </c>
      <c r="AK112" s="143"/>
      <c r="AL112" s="143"/>
      <c r="AM112" s="143"/>
      <c r="AN112" s="143"/>
      <c r="AO112" s="143"/>
      <c r="AP112" s="144"/>
      <c r="AQ112" s="144"/>
      <c r="AR112" s="127"/>
      <c r="AS112" s="145"/>
    </row>
    <row r="113" spans="1:45" x14ac:dyDescent="0.25">
      <c r="A113" s="15"/>
      <c r="B113" s="146"/>
      <c r="C113" s="147" t="s">
        <v>128</v>
      </c>
      <c r="D113" s="148"/>
      <c r="E113" s="148"/>
      <c r="F113" s="148"/>
      <c r="G113" s="148"/>
      <c r="H113" s="148"/>
      <c r="I113" s="148"/>
      <c r="J113" s="148"/>
      <c r="K113" s="148"/>
      <c r="L113" s="149"/>
      <c r="M113" s="150"/>
      <c r="N113" s="14"/>
      <c r="AG113" s="15"/>
      <c r="AH113" s="146"/>
      <c r="AI113" s="147" t="s">
        <v>128</v>
      </c>
      <c r="AJ113" s="148"/>
      <c r="AK113" s="148"/>
      <c r="AL113" s="148"/>
      <c r="AM113" s="148"/>
      <c r="AN113" s="148"/>
      <c r="AO113" s="148"/>
      <c r="AP113" s="148"/>
      <c r="AQ113" s="148"/>
      <c r="AR113" s="149"/>
      <c r="AS113" s="150"/>
    </row>
    <row r="114" spans="1:45" x14ac:dyDescent="0.25">
      <c r="A114" s="15"/>
      <c r="B114" s="126"/>
      <c r="C114" s="151" t="s">
        <v>116</v>
      </c>
      <c r="D114" s="152">
        <v>5.45</v>
      </c>
      <c r="E114" s="153">
        <v>4.6399999999999997</v>
      </c>
      <c r="F114" s="154">
        <v>0</v>
      </c>
      <c r="G114" s="153">
        <v>0</v>
      </c>
      <c r="H114" s="154">
        <v>4.87</v>
      </c>
      <c r="I114" s="153">
        <v>7.8</v>
      </c>
      <c r="J114" s="153">
        <v>7.8</v>
      </c>
      <c r="K114" s="153">
        <v>0</v>
      </c>
      <c r="L114" s="155">
        <f>$D$111*D114+$E$111*E114+$F$111*F114+$G$111*G114+$H$111*H114</f>
        <v>821.6</v>
      </c>
      <c r="M114" s="156">
        <f>$I$111*I114+$J$111*J114+$K$111*K114</f>
        <v>1248</v>
      </c>
      <c r="N114" s="14"/>
      <c r="AG114" s="15"/>
      <c r="AH114" s="126"/>
      <c r="AI114" s="151" t="str">
        <f t="shared" ref="AI114:AQ117" si="21">C114</f>
        <v>Mixed Hay</v>
      </c>
      <c r="AJ114" s="152">
        <f t="shared" si="21"/>
        <v>5.45</v>
      </c>
      <c r="AK114" s="153">
        <f t="shared" si="21"/>
        <v>4.6399999999999997</v>
      </c>
      <c r="AL114" s="154">
        <f t="shared" si="21"/>
        <v>0</v>
      </c>
      <c r="AM114" s="153">
        <f t="shared" si="21"/>
        <v>0</v>
      </c>
      <c r="AN114" s="154">
        <f t="shared" si="21"/>
        <v>4.87</v>
      </c>
      <c r="AO114" s="153">
        <f t="shared" si="21"/>
        <v>7.8</v>
      </c>
      <c r="AP114" s="153">
        <f t="shared" si="21"/>
        <v>7.8</v>
      </c>
      <c r="AQ114" s="153">
        <f t="shared" si="21"/>
        <v>0</v>
      </c>
      <c r="AR114" s="155">
        <f>$AJ$111*AJ114+$AK$111*AK114+$AL$111*AL114+$AM$111*AM114+$AN$111*AN114</f>
        <v>821.6</v>
      </c>
      <c r="AS114" s="156">
        <f>$AO$111*AO114+$AP$111*AP114+$AQ$111*AQ114</f>
        <v>1248</v>
      </c>
    </row>
    <row r="115" spans="1:45" x14ac:dyDescent="0.25">
      <c r="A115" s="15"/>
      <c r="B115" s="126"/>
      <c r="C115" s="151" t="s">
        <v>117</v>
      </c>
      <c r="D115" s="152">
        <v>0</v>
      </c>
      <c r="E115" s="153">
        <v>0</v>
      </c>
      <c r="F115" s="154">
        <v>0</v>
      </c>
      <c r="G115" s="153">
        <v>0</v>
      </c>
      <c r="H115" s="154">
        <v>0</v>
      </c>
      <c r="I115" s="153">
        <v>0</v>
      </c>
      <c r="J115" s="153">
        <v>0</v>
      </c>
      <c r="K115" s="153">
        <v>0</v>
      </c>
      <c r="L115" s="155">
        <f>$D$111*D115+$E$111*E115+$F$111*F115+$G$111*G115+$H$111*H115</f>
        <v>0</v>
      </c>
      <c r="M115" s="156">
        <f>$I$111*I115+$J$111*J115+$K$111*K115</f>
        <v>0</v>
      </c>
      <c r="N115" s="14"/>
      <c r="AG115" s="15"/>
      <c r="AH115" s="126"/>
      <c r="AI115" s="151" t="str">
        <f t="shared" si="21"/>
        <v>Alfalfa Hay</v>
      </c>
      <c r="AJ115" s="152">
        <f t="shared" si="21"/>
        <v>0</v>
      </c>
      <c r="AK115" s="153">
        <f t="shared" si="21"/>
        <v>0</v>
      </c>
      <c r="AL115" s="154">
        <f t="shared" si="21"/>
        <v>0</v>
      </c>
      <c r="AM115" s="153">
        <f t="shared" si="21"/>
        <v>0</v>
      </c>
      <c r="AN115" s="154">
        <f t="shared" si="21"/>
        <v>0</v>
      </c>
      <c r="AO115" s="153">
        <f t="shared" si="21"/>
        <v>0</v>
      </c>
      <c r="AP115" s="153">
        <f t="shared" si="21"/>
        <v>0</v>
      </c>
      <c r="AQ115" s="153">
        <f t="shared" si="21"/>
        <v>0</v>
      </c>
      <c r="AR115" s="155">
        <f>$AJ$111*AJ115+$AK$111*AK115+$AL$111*AL115+$AM$111*AM115+$AN$111*AN115</f>
        <v>0</v>
      </c>
      <c r="AS115" s="156">
        <f>$AO$111*AO115+$AP$111*AP115+$AQ$111*AQ115</f>
        <v>0</v>
      </c>
    </row>
    <row r="116" spans="1:45" x14ac:dyDescent="0.25">
      <c r="A116" s="15"/>
      <c r="B116" s="126"/>
      <c r="C116" s="151" t="s">
        <v>130</v>
      </c>
      <c r="D116" s="152">
        <v>0</v>
      </c>
      <c r="E116" s="153">
        <v>0</v>
      </c>
      <c r="F116" s="154">
        <v>0</v>
      </c>
      <c r="G116" s="153">
        <v>0</v>
      </c>
      <c r="H116" s="154">
        <v>0</v>
      </c>
      <c r="I116" s="153">
        <v>0</v>
      </c>
      <c r="J116" s="153">
        <v>0</v>
      </c>
      <c r="K116" s="153">
        <v>0</v>
      </c>
      <c r="L116" s="155">
        <f>$D$111*D116+$E$111*E116+$F$111*F116+$G$111*G116+$H$111*H116</f>
        <v>0</v>
      </c>
      <c r="M116" s="156">
        <f>$I$111*I116+$J$111*J116+$K$111*K116</f>
        <v>0</v>
      </c>
      <c r="N116" s="14"/>
      <c r="AG116" s="15"/>
      <c r="AH116" s="126"/>
      <c r="AI116" s="151" t="str">
        <f t="shared" si="21"/>
        <v>Corn Silage</v>
      </c>
      <c r="AJ116" s="152">
        <f t="shared" si="21"/>
        <v>0</v>
      </c>
      <c r="AK116" s="153">
        <f t="shared" si="21"/>
        <v>0</v>
      </c>
      <c r="AL116" s="154">
        <f t="shared" si="21"/>
        <v>0</v>
      </c>
      <c r="AM116" s="153">
        <f t="shared" si="21"/>
        <v>0</v>
      </c>
      <c r="AN116" s="154">
        <f t="shared" si="21"/>
        <v>0</v>
      </c>
      <c r="AO116" s="153">
        <f t="shared" si="21"/>
        <v>0</v>
      </c>
      <c r="AP116" s="153">
        <f t="shared" si="21"/>
        <v>0</v>
      </c>
      <c r="AQ116" s="153">
        <f t="shared" si="21"/>
        <v>0</v>
      </c>
      <c r="AR116" s="155">
        <f>$AJ$111*AJ116+$AK$111*AK116+$AL$111*AL116+$AM$111*AM116+$AN$111*AN116</f>
        <v>0</v>
      </c>
      <c r="AS116" s="156">
        <f>$AO$111*AO116+$AP$111*AP116+$AQ$111*AQ116</f>
        <v>0</v>
      </c>
    </row>
    <row r="117" spans="1:45" x14ac:dyDescent="0.25">
      <c r="A117" s="15"/>
      <c r="B117" s="126"/>
      <c r="C117" s="151" t="s">
        <v>131</v>
      </c>
      <c r="D117" s="152">
        <v>0</v>
      </c>
      <c r="E117" s="153">
        <v>0</v>
      </c>
      <c r="F117" s="154">
        <v>0</v>
      </c>
      <c r="G117" s="153">
        <v>0</v>
      </c>
      <c r="H117" s="154">
        <v>0</v>
      </c>
      <c r="I117" s="153">
        <v>0</v>
      </c>
      <c r="J117" s="153">
        <v>0</v>
      </c>
      <c r="K117" s="153">
        <v>0</v>
      </c>
      <c r="L117" s="155">
        <f>$D$111*D117+$E$111*E117+$F$111*F117+$G$111*G117+$H$111*H117</f>
        <v>0</v>
      </c>
      <c r="M117" s="156">
        <f>$I$111*I117+$J$111*J117+$K$111*K117</f>
        <v>0</v>
      </c>
      <c r="N117" s="14"/>
      <c r="AG117" s="15"/>
      <c r="AH117" s="126"/>
      <c r="AI117" s="151" t="str">
        <f t="shared" si="21"/>
        <v>Haylage</v>
      </c>
      <c r="AJ117" s="152">
        <f t="shared" si="21"/>
        <v>0</v>
      </c>
      <c r="AK117" s="153">
        <f t="shared" si="21"/>
        <v>0</v>
      </c>
      <c r="AL117" s="154">
        <f t="shared" si="21"/>
        <v>0</v>
      </c>
      <c r="AM117" s="153">
        <f t="shared" si="21"/>
        <v>0</v>
      </c>
      <c r="AN117" s="154">
        <f t="shared" si="21"/>
        <v>0</v>
      </c>
      <c r="AO117" s="153">
        <f t="shared" si="21"/>
        <v>0</v>
      </c>
      <c r="AP117" s="153">
        <f t="shared" si="21"/>
        <v>0</v>
      </c>
      <c r="AQ117" s="153">
        <f t="shared" si="21"/>
        <v>0</v>
      </c>
      <c r="AR117" s="155">
        <f>$AJ$111*AJ117+$AK$111*AK117+$AL$111*AL117+$AM$111*AM117+$AN$111*AN117</f>
        <v>0</v>
      </c>
      <c r="AS117" s="156">
        <f>$AO$111*AO117+$AP$111*AP117+$AQ$111*AQ117</f>
        <v>0</v>
      </c>
    </row>
    <row r="118" spans="1:45" x14ac:dyDescent="0.25">
      <c r="A118" s="15"/>
      <c r="B118" s="157"/>
      <c r="C118" s="158" t="s">
        <v>133</v>
      </c>
      <c r="D118" s="159"/>
      <c r="E118" s="159"/>
      <c r="F118" s="159"/>
      <c r="G118" s="159"/>
      <c r="H118" s="159"/>
      <c r="I118" s="159"/>
      <c r="J118" s="159"/>
      <c r="K118" s="159"/>
      <c r="L118" s="160"/>
      <c r="M118" s="161"/>
      <c r="N118" s="14"/>
      <c r="AG118" s="15"/>
      <c r="AH118" s="157"/>
      <c r="AI118" s="158" t="s">
        <v>133</v>
      </c>
      <c r="AJ118" s="159"/>
      <c r="AK118" s="159"/>
      <c r="AL118" s="159"/>
      <c r="AM118" s="159"/>
      <c r="AN118" s="159"/>
      <c r="AO118" s="159"/>
      <c r="AP118" s="159"/>
      <c r="AQ118" s="159"/>
      <c r="AR118" s="160"/>
      <c r="AS118" s="161"/>
    </row>
    <row r="119" spans="1:45" x14ac:dyDescent="0.25">
      <c r="A119" s="15"/>
      <c r="B119" s="126"/>
      <c r="C119" s="151" t="s">
        <v>129</v>
      </c>
      <c r="D119" s="152">
        <v>0</v>
      </c>
      <c r="E119" s="153">
        <v>1.5</v>
      </c>
      <c r="F119" s="154">
        <v>0</v>
      </c>
      <c r="G119" s="153">
        <v>0</v>
      </c>
      <c r="H119" s="153">
        <v>0.5</v>
      </c>
      <c r="I119" s="154">
        <v>0.5</v>
      </c>
      <c r="J119" s="153">
        <v>0</v>
      </c>
      <c r="K119" s="153">
        <v>0</v>
      </c>
      <c r="L119" s="155">
        <f>$D$111*D119+$E$111*E119+$F$111*F119+$G$111*G119+$H$111*H119</f>
        <v>67.5</v>
      </c>
      <c r="M119" s="156">
        <f>$I$111*I119+$J$111*J119+$K$111*K119</f>
        <v>22.5</v>
      </c>
      <c r="N119" s="14"/>
      <c r="AG119" s="15"/>
      <c r="AH119" s="126"/>
      <c r="AI119" s="151" t="str">
        <f t="shared" ref="AI119:AQ120" si="22">C119</f>
        <v>Corn</v>
      </c>
      <c r="AJ119" s="152">
        <f t="shared" si="22"/>
        <v>0</v>
      </c>
      <c r="AK119" s="153">
        <f t="shared" si="22"/>
        <v>1.5</v>
      </c>
      <c r="AL119" s="154">
        <f t="shared" si="22"/>
        <v>0</v>
      </c>
      <c r="AM119" s="153">
        <f t="shared" si="22"/>
        <v>0</v>
      </c>
      <c r="AN119" s="153">
        <f t="shared" si="22"/>
        <v>0.5</v>
      </c>
      <c r="AO119" s="154">
        <f t="shared" si="22"/>
        <v>0.5</v>
      </c>
      <c r="AP119" s="153">
        <f t="shared" si="22"/>
        <v>0</v>
      </c>
      <c r="AQ119" s="153">
        <f t="shared" si="22"/>
        <v>0</v>
      </c>
      <c r="AR119" s="155">
        <f>$AJ$111*AJ119+$AK$111*AK119+$AL$111*AL119+$AM$111*AM119+$AN$111*AN119</f>
        <v>67.5</v>
      </c>
      <c r="AS119" s="156">
        <f>$AO$111*AO119+$AP$111*AP119+$AQ$111*AQ119</f>
        <v>22.5</v>
      </c>
    </row>
    <row r="120" spans="1:45" x14ac:dyDescent="0.25">
      <c r="A120" s="15"/>
      <c r="B120" s="126"/>
      <c r="C120" s="151" t="s">
        <v>120</v>
      </c>
      <c r="D120" s="152">
        <v>0</v>
      </c>
      <c r="E120" s="153">
        <v>0</v>
      </c>
      <c r="F120" s="154">
        <v>0</v>
      </c>
      <c r="G120" s="153">
        <v>0</v>
      </c>
      <c r="H120" s="154">
        <v>0</v>
      </c>
      <c r="I120" s="153">
        <v>0</v>
      </c>
      <c r="J120" s="153">
        <v>0</v>
      </c>
      <c r="K120" s="153">
        <v>0</v>
      </c>
      <c r="L120" s="155">
        <f>$D$111*D120+$E$111*E120+$F$111*F120+$G$111*G120+$H$111*H120</f>
        <v>0</v>
      </c>
      <c r="M120" s="156">
        <f>$I$111*I120+$J$111*J120+$K$111*K120</f>
        <v>0</v>
      </c>
      <c r="N120" s="14"/>
      <c r="AG120" s="15"/>
      <c r="AH120" s="126"/>
      <c r="AI120" s="151" t="str">
        <f t="shared" si="22"/>
        <v>Barley</v>
      </c>
      <c r="AJ120" s="152">
        <f t="shared" si="22"/>
        <v>0</v>
      </c>
      <c r="AK120" s="153">
        <f t="shared" si="22"/>
        <v>0</v>
      </c>
      <c r="AL120" s="154">
        <f t="shared" si="22"/>
        <v>0</v>
      </c>
      <c r="AM120" s="153">
        <f t="shared" si="22"/>
        <v>0</v>
      </c>
      <c r="AN120" s="154">
        <f t="shared" si="22"/>
        <v>0</v>
      </c>
      <c r="AO120" s="153">
        <f t="shared" si="22"/>
        <v>0</v>
      </c>
      <c r="AP120" s="153">
        <f t="shared" si="22"/>
        <v>0</v>
      </c>
      <c r="AQ120" s="153">
        <f t="shared" si="22"/>
        <v>0</v>
      </c>
      <c r="AR120" s="155">
        <f>$AJ$111*AJ120+$AK$111*AK120+$AL$111*AL120+$AM$111*AM120+$AN$111*AN120</f>
        <v>0</v>
      </c>
      <c r="AS120" s="156">
        <f>$AO$111*AO120+$AP$111*AP120+$AQ$111*AQ120</f>
        <v>0</v>
      </c>
    </row>
    <row r="121" spans="1:45" x14ac:dyDescent="0.25">
      <c r="A121" s="15"/>
      <c r="B121" s="157"/>
      <c r="C121" s="158" t="s">
        <v>135</v>
      </c>
      <c r="D121" s="159"/>
      <c r="E121" s="159"/>
      <c r="F121" s="159"/>
      <c r="G121" s="159"/>
      <c r="H121" s="159"/>
      <c r="I121" s="159"/>
      <c r="J121" s="159"/>
      <c r="K121" s="159"/>
      <c r="L121" s="160"/>
      <c r="M121" s="161"/>
      <c r="N121" s="14"/>
      <c r="AG121" s="15"/>
      <c r="AH121" s="157"/>
      <c r="AI121" s="158" t="s">
        <v>135</v>
      </c>
      <c r="AJ121" s="159"/>
      <c r="AK121" s="159"/>
      <c r="AL121" s="159"/>
      <c r="AM121" s="159"/>
      <c r="AN121" s="159"/>
      <c r="AO121" s="159"/>
      <c r="AP121" s="159"/>
      <c r="AQ121" s="159"/>
      <c r="AR121" s="160"/>
      <c r="AS121" s="161"/>
    </row>
    <row r="122" spans="1:45" x14ac:dyDescent="0.25">
      <c r="A122" s="15"/>
      <c r="B122" s="126"/>
      <c r="C122" s="151" t="s">
        <v>132</v>
      </c>
      <c r="D122" s="162">
        <v>0</v>
      </c>
      <c r="E122" s="163">
        <v>0</v>
      </c>
      <c r="F122" s="164">
        <v>0</v>
      </c>
      <c r="G122" s="163">
        <v>0</v>
      </c>
      <c r="H122" s="164">
        <v>0</v>
      </c>
      <c r="I122" s="163">
        <v>0</v>
      </c>
      <c r="J122" s="153">
        <v>0</v>
      </c>
      <c r="K122" s="153">
        <v>0</v>
      </c>
      <c r="L122" s="155">
        <f>$D$111*D122+$E$111*E122+$F$111*F122+$G$111*G122+$H$111*H122</f>
        <v>0</v>
      </c>
      <c r="M122" s="156">
        <f t="shared" ref="M122:M127" si="23">$I$111*I122+$J$111*J122+$K$111*K122</f>
        <v>0</v>
      </c>
      <c r="N122" s="14"/>
      <c r="AG122" s="15"/>
      <c r="AH122" s="126"/>
      <c r="AI122" s="151" t="str">
        <f t="shared" ref="AI122:AI127" si="24">C122</f>
        <v>Soybean Meal</v>
      </c>
      <c r="AJ122" s="162">
        <f t="shared" ref="AJ122:AJ127" si="25">D122</f>
        <v>0</v>
      </c>
      <c r="AK122" s="163">
        <f t="shared" ref="AK122:AK127" si="26">E122</f>
        <v>0</v>
      </c>
      <c r="AL122" s="164">
        <f t="shared" ref="AL122:AL127" si="27">F122</f>
        <v>0</v>
      </c>
      <c r="AM122" s="163">
        <f t="shared" ref="AM122:AM127" si="28">G122</f>
        <v>0</v>
      </c>
      <c r="AN122" s="164">
        <f t="shared" ref="AN122:AN127" si="29">H122</f>
        <v>0</v>
      </c>
      <c r="AO122" s="163">
        <f t="shared" ref="AO122:AO127" si="30">I122</f>
        <v>0</v>
      </c>
      <c r="AP122" s="153">
        <f t="shared" ref="AP122:AP127" si="31">J122</f>
        <v>0</v>
      </c>
      <c r="AQ122" s="153">
        <f t="shared" ref="AQ122:AQ127" si="32">K122</f>
        <v>0</v>
      </c>
      <c r="AR122" s="155">
        <f t="shared" ref="AR122:AR127" si="33">$AJ$111*AJ122+$AK$111*AK122+$AL$111*AL122+$AM$111*AM122+$AN$111*AN122</f>
        <v>0</v>
      </c>
      <c r="AS122" s="156">
        <f t="shared" ref="AS122:AS127" si="34">$AO$111*AO122+$AP$111*AP122+$AQ$111*AQ122</f>
        <v>0</v>
      </c>
    </row>
    <row r="123" spans="1:45" x14ac:dyDescent="0.25">
      <c r="A123" s="15"/>
      <c r="B123" s="126"/>
      <c r="C123" s="151" t="s">
        <v>204</v>
      </c>
      <c r="D123" s="162">
        <v>0</v>
      </c>
      <c r="E123" s="163">
        <v>0.1</v>
      </c>
      <c r="F123" s="164">
        <v>0</v>
      </c>
      <c r="G123" s="163">
        <v>0</v>
      </c>
      <c r="H123" s="164">
        <v>0</v>
      </c>
      <c r="I123" s="163">
        <v>0</v>
      </c>
      <c r="J123" s="153">
        <v>0</v>
      </c>
      <c r="K123" s="153">
        <v>0</v>
      </c>
      <c r="L123" s="155">
        <f>$D$111*D123+$E$111*E123+$F$111*F123+$G$111*G123+$H$111*H123</f>
        <v>3</v>
      </c>
      <c r="M123" s="156">
        <f t="shared" si="23"/>
        <v>0</v>
      </c>
      <c r="N123" s="14"/>
      <c r="AG123" s="15"/>
      <c r="AH123" s="126"/>
      <c r="AI123" s="151" t="str">
        <f t="shared" si="24"/>
        <v>Pellet Protein Supplement</v>
      </c>
      <c r="AJ123" s="162">
        <f t="shared" si="25"/>
        <v>0</v>
      </c>
      <c r="AK123" s="163">
        <f t="shared" si="26"/>
        <v>0.1</v>
      </c>
      <c r="AL123" s="164">
        <f t="shared" si="27"/>
        <v>0</v>
      </c>
      <c r="AM123" s="163">
        <f t="shared" si="28"/>
        <v>0</v>
      </c>
      <c r="AN123" s="164">
        <f t="shared" si="29"/>
        <v>0</v>
      </c>
      <c r="AO123" s="163">
        <f t="shared" si="30"/>
        <v>0</v>
      </c>
      <c r="AP123" s="153">
        <f t="shared" si="31"/>
        <v>0</v>
      </c>
      <c r="AQ123" s="153">
        <f t="shared" si="32"/>
        <v>0</v>
      </c>
      <c r="AR123" s="155">
        <f t="shared" si="33"/>
        <v>3</v>
      </c>
      <c r="AS123" s="156">
        <f t="shared" si="34"/>
        <v>0</v>
      </c>
    </row>
    <row r="124" spans="1:45" x14ac:dyDescent="0.25">
      <c r="A124" s="15"/>
      <c r="B124" s="126"/>
      <c r="C124" s="151" t="s">
        <v>136</v>
      </c>
      <c r="D124" s="162">
        <v>0</v>
      </c>
      <c r="E124" s="163">
        <v>0</v>
      </c>
      <c r="F124" s="164">
        <v>0</v>
      </c>
      <c r="G124" s="163">
        <v>0</v>
      </c>
      <c r="H124" s="164">
        <v>0</v>
      </c>
      <c r="I124" s="163">
        <v>0</v>
      </c>
      <c r="J124" s="153">
        <v>0</v>
      </c>
      <c r="K124" s="153">
        <v>0</v>
      </c>
      <c r="L124" s="155">
        <f>$D$111*D124+$E$111*E124+$F$111*F124+$G$111*G124+$H$111*H124</f>
        <v>0</v>
      </c>
      <c r="M124" s="156">
        <f t="shared" si="23"/>
        <v>0</v>
      </c>
      <c r="N124" s="14"/>
      <c r="AG124" s="15"/>
      <c r="AH124" s="126"/>
      <c r="AI124" s="151" t="str">
        <f t="shared" si="24"/>
        <v>Corn Distillers</v>
      </c>
      <c r="AJ124" s="162">
        <f t="shared" si="25"/>
        <v>0</v>
      </c>
      <c r="AK124" s="163">
        <f t="shared" si="26"/>
        <v>0</v>
      </c>
      <c r="AL124" s="164">
        <f t="shared" si="27"/>
        <v>0</v>
      </c>
      <c r="AM124" s="163">
        <f t="shared" si="28"/>
        <v>0</v>
      </c>
      <c r="AN124" s="164">
        <f t="shared" si="29"/>
        <v>0</v>
      </c>
      <c r="AO124" s="163">
        <f t="shared" si="30"/>
        <v>0</v>
      </c>
      <c r="AP124" s="153">
        <f t="shared" si="31"/>
        <v>0</v>
      </c>
      <c r="AQ124" s="153">
        <f t="shared" si="32"/>
        <v>0</v>
      </c>
      <c r="AR124" s="155">
        <f t="shared" si="33"/>
        <v>0</v>
      </c>
      <c r="AS124" s="156">
        <f t="shared" si="34"/>
        <v>0</v>
      </c>
    </row>
    <row r="125" spans="1:45" x14ac:dyDescent="0.25">
      <c r="A125" s="15"/>
      <c r="B125" s="126"/>
      <c r="C125" s="151" t="s">
        <v>137</v>
      </c>
      <c r="D125" s="162">
        <v>0.03</v>
      </c>
      <c r="E125" s="163">
        <v>0.03</v>
      </c>
      <c r="F125" s="164">
        <v>0.03</v>
      </c>
      <c r="G125" s="163">
        <v>0.03</v>
      </c>
      <c r="H125" s="164">
        <v>0.03</v>
      </c>
      <c r="I125" s="163">
        <v>4.4999999999999998E-2</v>
      </c>
      <c r="J125" s="163">
        <v>4.4999999999999998E-2</v>
      </c>
      <c r="K125" s="163">
        <v>4.4999999999999998E-2</v>
      </c>
      <c r="L125" s="155">
        <f>($D$111*D125+$E$111*E125+$F$111*F125+$G$111*G125+$H$111*H125)+((365-D111-E111-F111-G111-H111)*H125)</f>
        <v>10.95</v>
      </c>
      <c r="M125" s="156">
        <f t="shared" si="23"/>
        <v>16.424999999999997</v>
      </c>
      <c r="N125" s="14"/>
      <c r="AG125" s="15"/>
      <c r="AH125" s="126"/>
      <c r="AI125" s="151" t="str">
        <f t="shared" si="24"/>
        <v xml:space="preserve">Salt </v>
      </c>
      <c r="AJ125" s="162">
        <f t="shared" si="25"/>
        <v>0.03</v>
      </c>
      <c r="AK125" s="163">
        <f t="shared" si="26"/>
        <v>0.03</v>
      </c>
      <c r="AL125" s="164">
        <f t="shared" si="27"/>
        <v>0.03</v>
      </c>
      <c r="AM125" s="163">
        <f t="shared" si="28"/>
        <v>0.03</v>
      </c>
      <c r="AN125" s="164">
        <f t="shared" si="29"/>
        <v>0.03</v>
      </c>
      <c r="AO125" s="163">
        <f t="shared" si="30"/>
        <v>4.4999999999999998E-2</v>
      </c>
      <c r="AP125" s="163">
        <f t="shared" si="31"/>
        <v>4.4999999999999998E-2</v>
      </c>
      <c r="AQ125" s="163">
        <f t="shared" si="32"/>
        <v>4.4999999999999998E-2</v>
      </c>
      <c r="AR125" s="155">
        <f t="shared" si="33"/>
        <v>10.95</v>
      </c>
      <c r="AS125" s="156">
        <f t="shared" si="34"/>
        <v>16.424999999999997</v>
      </c>
    </row>
    <row r="126" spans="1:45" x14ac:dyDescent="0.25">
      <c r="A126" s="15"/>
      <c r="B126" s="126"/>
      <c r="C126" s="151" t="s">
        <v>124</v>
      </c>
      <c r="D126" s="162">
        <v>4.4999999999999998E-2</v>
      </c>
      <c r="E126" s="163">
        <v>4.4999999999999998E-2</v>
      </c>
      <c r="F126" s="164">
        <v>4.4999999999999998E-2</v>
      </c>
      <c r="G126" s="163">
        <v>4.4999999999999998E-2</v>
      </c>
      <c r="H126" s="164">
        <v>4.4999999999999998E-2</v>
      </c>
      <c r="I126" s="163">
        <v>0.06</v>
      </c>
      <c r="J126" s="163">
        <v>0.06</v>
      </c>
      <c r="K126" s="163">
        <v>0.06</v>
      </c>
      <c r="L126" s="155">
        <f>($D$111*D126+$E$111*E126+$F$111*F126+$G$111*G126+$H$111*H126)+((365-D111-E111-F111-G111-H111)*H126)</f>
        <v>16.425000000000001</v>
      </c>
      <c r="M126" s="156">
        <f t="shared" si="23"/>
        <v>21.9</v>
      </c>
      <c r="N126" s="14"/>
      <c r="AG126" s="15"/>
      <c r="AH126" s="126"/>
      <c r="AI126" s="151" t="str">
        <f t="shared" si="24"/>
        <v>Mineral</v>
      </c>
      <c r="AJ126" s="162">
        <f t="shared" si="25"/>
        <v>4.4999999999999998E-2</v>
      </c>
      <c r="AK126" s="163">
        <f t="shared" si="26"/>
        <v>4.4999999999999998E-2</v>
      </c>
      <c r="AL126" s="164">
        <f t="shared" si="27"/>
        <v>4.4999999999999998E-2</v>
      </c>
      <c r="AM126" s="163">
        <f t="shared" si="28"/>
        <v>4.4999999999999998E-2</v>
      </c>
      <c r="AN126" s="164">
        <f t="shared" si="29"/>
        <v>4.4999999999999998E-2</v>
      </c>
      <c r="AO126" s="163">
        <f t="shared" si="30"/>
        <v>0.06</v>
      </c>
      <c r="AP126" s="163">
        <f t="shared" si="31"/>
        <v>0.06</v>
      </c>
      <c r="AQ126" s="163">
        <f t="shared" si="32"/>
        <v>0.06</v>
      </c>
      <c r="AR126" s="155">
        <f t="shared" si="33"/>
        <v>16.425000000000001</v>
      </c>
      <c r="AS126" s="156">
        <f t="shared" si="34"/>
        <v>21.9</v>
      </c>
    </row>
    <row r="127" spans="1:45" x14ac:dyDescent="0.25">
      <c r="A127" s="15"/>
      <c r="B127" s="165"/>
      <c r="C127" s="166" t="s">
        <v>205</v>
      </c>
      <c r="D127" s="169">
        <v>0</v>
      </c>
      <c r="E127" s="169">
        <v>0</v>
      </c>
      <c r="F127" s="169">
        <v>5.45</v>
      </c>
      <c r="G127" s="169">
        <v>5.45</v>
      </c>
      <c r="H127" s="169">
        <v>0</v>
      </c>
      <c r="I127" s="311">
        <v>0</v>
      </c>
      <c r="J127" s="169">
        <v>0</v>
      </c>
      <c r="K127" s="169">
        <v>7.8</v>
      </c>
      <c r="L127" s="170">
        <f>$D$111*D127+$E$111*E127+$F$111*F127+$G$111*G127+$H$111*H127</f>
        <v>1117.25</v>
      </c>
      <c r="M127" s="171">
        <f t="shared" si="23"/>
        <v>1599</v>
      </c>
      <c r="N127" s="14"/>
      <c r="AG127" s="15"/>
      <c r="AH127" s="165"/>
      <c r="AI127" s="166" t="str">
        <f t="shared" si="24"/>
        <v>Pasture</v>
      </c>
      <c r="AJ127" s="167">
        <f t="shared" si="25"/>
        <v>0</v>
      </c>
      <c r="AK127" s="167">
        <f t="shared" si="26"/>
        <v>0</v>
      </c>
      <c r="AL127" s="167">
        <f t="shared" si="27"/>
        <v>5.45</v>
      </c>
      <c r="AM127" s="167">
        <f t="shared" si="28"/>
        <v>5.45</v>
      </c>
      <c r="AN127" s="167">
        <f t="shared" si="29"/>
        <v>0</v>
      </c>
      <c r="AO127" s="168">
        <f t="shared" si="30"/>
        <v>0</v>
      </c>
      <c r="AP127" s="169">
        <f t="shared" si="31"/>
        <v>0</v>
      </c>
      <c r="AQ127" s="169">
        <f t="shared" si="32"/>
        <v>7.8</v>
      </c>
      <c r="AR127" s="170">
        <f t="shared" si="33"/>
        <v>1117.25</v>
      </c>
      <c r="AS127" s="171">
        <f t="shared" si="34"/>
        <v>1599</v>
      </c>
    </row>
    <row r="128" spans="1:45" ht="12.75" customHeight="1" x14ac:dyDescent="0.25">
      <c r="A128" s="15"/>
      <c r="B128" s="126"/>
      <c r="C128" s="172"/>
      <c r="D128" s="173"/>
      <c r="E128" s="173"/>
      <c r="F128" s="173"/>
      <c r="G128" s="173"/>
      <c r="H128" s="173"/>
      <c r="I128" s="173"/>
      <c r="J128" s="174"/>
      <c r="K128" s="174"/>
      <c r="L128" s="155"/>
      <c r="M128" s="120"/>
      <c r="N128" s="14"/>
      <c r="AG128" s="15"/>
      <c r="AH128" s="126"/>
      <c r="AI128" s="172"/>
      <c r="AJ128" s="173"/>
      <c r="AK128" s="173"/>
      <c r="AL128" s="173"/>
      <c r="AM128" s="173"/>
      <c r="AN128" s="173"/>
      <c r="AO128" s="173"/>
      <c r="AP128" s="174"/>
      <c r="AQ128" s="174"/>
      <c r="AR128" s="155"/>
      <c r="AS128" s="120"/>
    </row>
    <row r="129" spans="1:45" ht="12.75" customHeight="1" x14ac:dyDescent="0.25">
      <c r="A129" s="15"/>
      <c r="B129" s="140"/>
      <c r="C129" s="127"/>
      <c r="D129" s="175"/>
      <c r="E129" s="127"/>
      <c r="F129" s="127"/>
      <c r="G129" s="127"/>
      <c r="H129" s="127"/>
      <c r="I129" s="176"/>
      <c r="J129" s="174"/>
      <c r="K129" s="34" t="s">
        <v>186</v>
      </c>
      <c r="L129" s="34">
        <f>D10+D36</f>
        <v>180</v>
      </c>
      <c r="M129" s="34">
        <f>H9+D37</f>
        <v>4</v>
      </c>
      <c r="N129" s="14"/>
      <c r="AG129" s="15"/>
      <c r="AH129" s="140"/>
      <c r="AI129" s="127"/>
      <c r="AJ129" s="175"/>
      <c r="AK129" s="127"/>
      <c r="AL129" s="127"/>
      <c r="AM129" s="127"/>
      <c r="AN129" s="127"/>
      <c r="AO129" s="176"/>
      <c r="AP129" s="174"/>
      <c r="AQ129" s="34" t="s">
        <v>186</v>
      </c>
      <c r="AR129" s="34">
        <f>AJ10+AJ36</f>
        <v>180</v>
      </c>
      <c r="AS129" s="34">
        <f>AN9+AJ37</f>
        <v>4</v>
      </c>
    </row>
    <row r="130" spans="1:45" ht="90.75" x14ac:dyDescent="0.25">
      <c r="A130" s="15"/>
      <c r="B130" s="140" t="s">
        <v>206</v>
      </c>
      <c r="C130" s="127"/>
      <c r="D130" s="175"/>
      <c r="E130" s="127"/>
      <c r="F130" s="127"/>
      <c r="G130" s="127"/>
      <c r="H130" s="127"/>
      <c r="I130" s="130" t="s">
        <v>207</v>
      </c>
      <c r="J130" s="177" t="s">
        <v>208</v>
      </c>
      <c r="K130" s="130"/>
      <c r="L130" s="177" t="s">
        <v>209</v>
      </c>
      <c r="M130" s="177" t="s">
        <v>210</v>
      </c>
      <c r="N130" s="14"/>
      <c r="AG130" s="15"/>
      <c r="AH130" s="140" t="s">
        <v>206</v>
      </c>
      <c r="AI130" s="127"/>
      <c r="AJ130" s="175"/>
      <c r="AK130" s="127"/>
      <c r="AL130" s="127"/>
      <c r="AM130" s="127"/>
      <c r="AN130" s="127"/>
      <c r="AO130" s="130" t="s">
        <v>207</v>
      </c>
      <c r="AP130" s="177" t="s">
        <v>208</v>
      </c>
      <c r="AQ130" s="130"/>
      <c r="AR130" s="177" t="s">
        <v>209</v>
      </c>
      <c r="AS130" s="177" t="s">
        <v>210</v>
      </c>
    </row>
    <row r="131" spans="1:45" x14ac:dyDescent="0.25">
      <c r="A131" s="15"/>
      <c r="B131" s="178"/>
      <c r="C131" s="134" t="s">
        <v>211</v>
      </c>
      <c r="D131" s="179">
        <v>85</v>
      </c>
      <c r="E131" s="180">
        <v>30</v>
      </c>
      <c r="F131" s="180">
        <v>100</v>
      </c>
      <c r="G131" s="179">
        <v>105</v>
      </c>
      <c r="H131" s="181">
        <v>45</v>
      </c>
      <c r="I131" s="179">
        <v>165</v>
      </c>
      <c r="J131" s="312">
        <v>200</v>
      </c>
      <c r="K131" s="183"/>
      <c r="L131" s="184"/>
      <c r="M131" s="183"/>
      <c r="N131" s="14"/>
      <c r="AG131" s="15"/>
      <c r="AH131" s="178"/>
      <c r="AI131" s="134" t="s">
        <v>211</v>
      </c>
      <c r="AJ131" s="179">
        <f t="shared" ref="AJ131:AP131" si="35">D131</f>
        <v>85</v>
      </c>
      <c r="AK131" s="180">
        <f t="shared" si="35"/>
        <v>30</v>
      </c>
      <c r="AL131" s="180">
        <f t="shared" si="35"/>
        <v>100</v>
      </c>
      <c r="AM131" s="179">
        <f t="shared" si="35"/>
        <v>105</v>
      </c>
      <c r="AN131" s="181">
        <f t="shared" si="35"/>
        <v>45</v>
      </c>
      <c r="AO131" s="179">
        <f t="shared" si="35"/>
        <v>165</v>
      </c>
      <c r="AP131" s="182">
        <f t="shared" si="35"/>
        <v>200</v>
      </c>
      <c r="AQ131" s="183"/>
      <c r="AR131" s="184"/>
      <c r="AS131" s="183"/>
    </row>
    <row r="132" spans="1:45" x14ac:dyDescent="0.25">
      <c r="A132" s="15"/>
      <c r="B132" s="126" t="s">
        <v>212</v>
      </c>
      <c r="C132" s="134"/>
      <c r="D132" s="180"/>
      <c r="E132" s="180"/>
      <c r="F132" s="180"/>
      <c r="G132" s="180"/>
      <c r="H132" s="180"/>
      <c r="I132" s="180"/>
      <c r="J132" s="313"/>
      <c r="K132" s="183"/>
      <c r="L132" s="183"/>
      <c r="M132" s="183"/>
      <c r="N132" s="14"/>
      <c r="AG132" s="15"/>
      <c r="AH132" s="126" t="s">
        <v>212</v>
      </c>
      <c r="AI132" s="134"/>
      <c r="AJ132" s="180"/>
      <c r="AK132" s="180"/>
      <c r="AL132" s="180"/>
      <c r="AM132" s="180"/>
      <c r="AN132" s="180"/>
      <c r="AO132" s="180"/>
      <c r="AP132" s="184"/>
      <c r="AQ132" s="183"/>
      <c r="AR132" s="183"/>
      <c r="AS132" s="183"/>
    </row>
    <row r="133" spans="1:45" x14ac:dyDescent="0.25">
      <c r="A133" s="15"/>
      <c r="B133" s="185"/>
      <c r="C133" s="147" t="s">
        <v>128</v>
      </c>
      <c r="D133" s="186"/>
      <c r="E133" s="186"/>
      <c r="F133" s="186"/>
      <c r="G133" s="186"/>
      <c r="H133" s="186"/>
      <c r="I133" s="186"/>
      <c r="J133" s="314"/>
      <c r="K133" s="187"/>
      <c r="L133" s="187"/>
      <c r="M133" s="188"/>
      <c r="N133" s="14"/>
      <c r="AG133" s="15"/>
      <c r="AH133" s="185"/>
      <c r="AI133" s="147" t="s">
        <v>128</v>
      </c>
      <c r="AJ133" s="186"/>
      <c r="AK133" s="186"/>
      <c r="AL133" s="186"/>
      <c r="AM133" s="186"/>
      <c r="AN133" s="186"/>
      <c r="AO133" s="186"/>
      <c r="AP133" s="160"/>
      <c r="AQ133" s="187"/>
      <c r="AR133" s="187"/>
      <c r="AS133" s="188"/>
    </row>
    <row r="134" spans="1:45" x14ac:dyDescent="0.25">
      <c r="A134" s="15"/>
      <c r="B134" s="126"/>
      <c r="C134" s="151" t="str">
        <f>C114</f>
        <v>Mixed Hay</v>
      </c>
      <c r="D134" s="152">
        <v>3.3</v>
      </c>
      <c r="E134" s="153">
        <v>3.3</v>
      </c>
      <c r="F134" s="154">
        <v>0</v>
      </c>
      <c r="G134" s="153">
        <v>0</v>
      </c>
      <c r="H134" s="189">
        <v>3.3</v>
      </c>
      <c r="I134" s="152">
        <v>4.5</v>
      </c>
      <c r="J134" s="315">
        <v>0</v>
      </c>
      <c r="K134" s="155"/>
      <c r="L134" s="191">
        <f>$D$131*D134+$E$131*E134+$F$131*F134+$G$131*G134+$H$131*H134</f>
        <v>528</v>
      </c>
      <c r="M134" s="156">
        <f>$I$131*I134+$J$131*J134</f>
        <v>742.5</v>
      </c>
      <c r="N134" s="14"/>
      <c r="AG134" s="15"/>
      <c r="AH134" s="126"/>
      <c r="AI134" s="151" t="str">
        <f t="shared" ref="AI134:AI147" si="36">C134</f>
        <v>Mixed Hay</v>
      </c>
      <c r="AJ134" s="152">
        <f t="shared" ref="AJ134:AP137" si="37">D134</f>
        <v>3.3</v>
      </c>
      <c r="AK134" s="153">
        <f t="shared" si="37"/>
        <v>3.3</v>
      </c>
      <c r="AL134" s="154">
        <f t="shared" si="37"/>
        <v>0</v>
      </c>
      <c r="AM134" s="153">
        <f t="shared" si="37"/>
        <v>0</v>
      </c>
      <c r="AN134" s="189">
        <f t="shared" si="37"/>
        <v>3.3</v>
      </c>
      <c r="AO134" s="152">
        <f t="shared" si="37"/>
        <v>4.5</v>
      </c>
      <c r="AP134" s="190">
        <f t="shared" si="37"/>
        <v>0</v>
      </c>
      <c r="AQ134" s="155"/>
      <c r="AR134" s="191">
        <f>$AJ$131*AJ134+$AK$131*AK134+$AL$131*AL134+$AM$131*AM134+$AN$131*AN134</f>
        <v>528</v>
      </c>
      <c r="AS134" s="156">
        <f>$AO$131*AO134+$AP$131*AP134</f>
        <v>742.5</v>
      </c>
    </row>
    <row r="135" spans="1:45" x14ac:dyDescent="0.25">
      <c r="A135" s="15"/>
      <c r="B135" s="126"/>
      <c r="C135" s="151" t="str">
        <f>C115</f>
        <v>Alfalfa Hay</v>
      </c>
      <c r="D135" s="152">
        <v>0</v>
      </c>
      <c r="E135" s="153">
        <v>0</v>
      </c>
      <c r="F135" s="154">
        <v>0</v>
      </c>
      <c r="G135" s="153">
        <v>0</v>
      </c>
      <c r="H135" s="189">
        <v>0</v>
      </c>
      <c r="I135" s="152">
        <v>0</v>
      </c>
      <c r="J135" s="315">
        <v>0</v>
      </c>
      <c r="K135" s="155"/>
      <c r="L135" s="191">
        <f>$D$131*D135+$E$131*E135+$F$131*F135+$G$131*G135+$H$131*H135</f>
        <v>0</v>
      </c>
      <c r="M135" s="156">
        <f>$I$131*I135+$J$131*J135</f>
        <v>0</v>
      </c>
      <c r="N135" s="14"/>
      <c r="AG135" s="15"/>
      <c r="AH135" s="126"/>
      <c r="AI135" s="151" t="str">
        <f t="shared" si="36"/>
        <v>Alfalfa Hay</v>
      </c>
      <c r="AJ135" s="152">
        <f t="shared" si="37"/>
        <v>0</v>
      </c>
      <c r="AK135" s="153">
        <f t="shared" si="37"/>
        <v>0</v>
      </c>
      <c r="AL135" s="154">
        <f t="shared" si="37"/>
        <v>0</v>
      </c>
      <c r="AM135" s="153">
        <f t="shared" si="37"/>
        <v>0</v>
      </c>
      <c r="AN135" s="189">
        <f t="shared" si="37"/>
        <v>0</v>
      </c>
      <c r="AO135" s="152">
        <f t="shared" si="37"/>
        <v>0</v>
      </c>
      <c r="AP135" s="190">
        <f t="shared" si="37"/>
        <v>0</v>
      </c>
      <c r="AQ135" s="155"/>
      <c r="AR135" s="191">
        <f>$AJ$131*AJ135+$AK$131*AK135+$AL$131*AL135+$AM$131*AM135+$AN$131*AN135</f>
        <v>0</v>
      </c>
      <c r="AS135" s="156">
        <f>$I$131*AO135+$J$131*AP135</f>
        <v>0</v>
      </c>
    </row>
    <row r="136" spans="1:45" x14ac:dyDescent="0.25">
      <c r="A136" s="15"/>
      <c r="B136" s="126"/>
      <c r="C136" s="151" t="str">
        <f>C116</f>
        <v>Corn Silage</v>
      </c>
      <c r="D136" s="152">
        <v>0</v>
      </c>
      <c r="E136" s="153">
        <v>0</v>
      </c>
      <c r="F136" s="154">
        <v>0</v>
      </c>
      <c r="G136" s="153">
        <v>0</v>
      </c>
      <c r="H136" s="189">
        <v>0</v>
      </c>
      <c r="I136" s="152">
        <v>0</v>
      </c>
      <c r="J136" s="315">
        <v>0</v>
      </c>
      <c r="K136" s="155"/>
      <c r="L136" s="191">
        <f>$D$131*D136+$E$131*E136+$F$131*F136+$G$131*G136+$H$131*H136</f>
        <v>0</v>
      </c>
      <c r="M136" s="156">
        <f>$I$131*I136+$J$131*J136</f>
        <v>0</v>
      </c>
      <c r="N136" s="14"/>
      <c r="AG136" s="15"/>
      <c r="AH136" s="126"/>
      <c r="AI136" s="151" t="str">
        <f t="shared" si="36"/>
        <v>Corn Silage</v>
      </c>
      <c r="AJ136" s="152">
        <f t="shared" si="37"/>
        <v>0</v>
      </c>
      <c r="AK136" s="153">
        <f t="shared" si="37"/>
        <v>0</v>
      </c>
      <c r="AL136" s="154">
        <f t="shared" si="37"/>
        <v>0</v>
      </c>
      <c r="AM136" s="153">
        <f t="shared" si="37"/>
        <v>0</v>
      </c>
      <c r="AN136" s="189">
        <f t="shared" si="37"/>
        <v>0</v>
      </c>
      <c r="AO136" s="152">
        <f t="shared" si="37"/>
        <v>0</v>
      </c>
      <c r="AP136" s="190">
        <f t="shared" si="37"/>
        <v>0</v>
      </c>
      <c r="AQ136" s="155"/>
      <c r="AR136" s="191">
        <f>$AJ$131*AJ136+$AK$131*AK136+$AL$131*AL136+$AM$131*AM136+$AN$131*AN136</f>
        <v>0</v>
      </c>
      <c r="AS136" s="156">
        <f>$I$131*AO136+$J$131*AP136</f>
        <v>0</v>
      </c>
    </row>
    <row r="137" spans="1:45" x14ac:dyDescent="0.25">
      <c r="A137" s="15"/>
      <c r="B137" s="126"/>
      <c r="C137" s="151" t="str">
        <f>C117</f>
        <v>Haylage</v>
      </c>
      <c r="D137" s="152">
        <v>0</v>
      </c>
      <c r="E137" s="153">
        <v>0</v>
      </c>
      <c r="F137" s="154">
        <v>0</v>
      </c>
      <c r="G137" s="153">
        <v>0</v>
      </c>
      <c r="H137" s="189">
        <v>0</v>
      </c>
      <c r="I137" s="152">
        <v>0</v>
      </c>
      <c r="J137" s="315">
        <v>0</v>
      </c>
      <c r="K137" s="155"/>
      <c r="L137" s="191">
        <f>$D$131*D137+$E$131*E137+$F$131*F137+$G$131*G137+$H$131*H137</f>
        <v>0</v>
      </c>
      <c r="M137" s="156">
        <f>$I$131*I137+$J$131*J137</f>
        <v>0</v>
      </c>
      <c r="N137" s="14"/>
      <c r="AG137" s="15"/>
      <c r="AH137" s="126"/>
      <c r="AI137" s="151" t="str">
        <f t="shared" si="36"/>
        <v>Haylage</v>
      </c>
      <c r="AJ137" s="152">
        <f t="shared" si="37"/>
        <v>0</v>
      </c>
      <c r="AK137" s="153">
        <f t="shared" si="37"/>
        <v>0</v>
      </c>
      <c r="AL137" s="154">
        <f t="shared" si="37"/>
        <v>0</v>
      </c>
      <c r="AM137" s="153">
        <f t="shared" si="37"/>
        <v>0</v>
      </c>
      <c r="AN137" s="189">
        <f t="shared" si="37"/>
        <v>0</v>
      </c>
      <c r="AO137" s="152">
        <f t="shared" si="37"/>
        <v>0</v>
      </c>
      <c r="AP137" s="190">
        <f t="shared" si="37"/>
        <v>0</v>
      </c>
      <c r="AQ137" s="155"/>
      <c r="AR137" s="191">
        <f>$AJ$131*AJ137+$AK$131*AK137+$AL$131*AL137+$AM$131*AM137+$AN$131*AN137</f>
        <v>0</v>
      </c>
      <c r="AS137" s="156">
        <f>$I$131*AO137+$J$131*AP137</f>
        <v>0</v>
      </c>
    </row>
    <row r="138" spans="1:45" x14ac:dyDescent="0.25">
      <c r="A138" s="15"/>
      <c r="B138" s="157"/>
      <c r="C138" s="158" t="s">
        <v>133</v>
      </c>
      <c r="D138" s="192"/>
      <c r="E138" s="192"/>
      <c r="F138" s="192"/>
      <c r="G138" s="192"/>
      <c r="H138" s="192"/>
      <c r="I138" s="192"/>
      <c r="J138" s="316"/>
      <c r="K138" s="160"/>
      <c r="L138" s="160"/>
      <c r="M138" s="161"/>
      <c r="N138" s="14"/>
      <c r="AG138" s="15"/>
      <c r="AH138" s="157"/>
      <c r="AI138" s="158" t="str">
        <f t="shared" si="36"/>
        <v>Grains</v>
      </c>
      <c r="AJ138" s="192"/>
      <c r="AK138" s="192"/>
      <c r="AL138" s="192"/>
      <c r="AM138" s="192"/>
      <c r="AN138" s="192"/>
      <c r="AO138" s="192"/>
      <c r="AP138" s="193"/>
      <c r="AQ138" s="160"/>
      <c r="AR138" s="160"/>
      <c r="AS138" s="161"/>
    </row>
    <row r="139" spans="1:45" x14ac:dyDescent="0.25">
      <c r="A139" s="15"/>
      <c r="B139" s="126"/>
      <c r="C139" s="151" t="str">
        <f>C119</f>
        <v>Corn</v>
      </c>
      <c r="D139" s="152">
        <v>1</v>
      </c>
      <c r="E139" s="153">
        <v>1.25</v>
      </c>
      <c r="F139" s="154">
        <v>0</v>
      </c>
      <c r="G139" s="153">
        <v>0</v>
      </c>
      <c r="H139" s="189">
        <v>1</v>
      </c>
      <c r="I139" s="152">
        <v>0.5</v>
      </c>
      <c r="J139" s="315">
        <v>0</v>
      </c>
      <c r="K139" s="155"/>
      <c r="L139" s="191">
        <f>$D$131*D139+$E$131*E139+$F$131*F139+$G$131*G139+$H$131*H139</f>
        <v>167.5</v>
      </c>
      <c r="M139" s="156">
        <f>$I$131*I139+$J$131*J139</f>
        <v>82.5</v>
      </c>
      <c r="N139" s="14"/>
      <c r="AG139" s="15"/>
      <c r="AH139" s="126"/>
      <c r="AI139" s="151" t="str">
        <f t="shared" si="36"/>
        <v>Corn</v>
      </c>
      <c r="AJ139" s="152">
        <f t="shared" ref="AJ139:AP140" si="38">D139</f>
        <v>1</v>
      </c>
      <c r="AK139" s="153">
        <f t="shared" si="38"/>
        <v>1.25</v>
      </c>
      <c r="AL139" s="154">
        <f t="shared" si="38"/>
        <v>0</v>
      </c>
      <c r="AM139" s="153">
        <f t="shared" si="38"/>
        <v>0</v>
      </c>
      <c r="AN139" s="189">
        <f t="shared" si="38"/>
        <v>1</v>
      </c>
      <c r="AO139" s="152">
        <f t="shared" si="38"/>
        <v>0.5</v>
      </c>
      <c r="AP139" s="190">
        <f t="shared" si="38"/>
        <v>0</v>
      </c>
      <c r="AQ139" s="155"/>
      <c r="AR139" s="191">
        <f>$AJ$131*AJ139+$AK$131*AK139+$AL$131*AL139+$AM$131*AM139+$AN$131*AN139</f>
        <v>167.5</v>
      </c>
      <c r="AS139" s="156">
        <f>$I$131*AO139+$J$131*AP139</f>
        <v>82.5</v>
      </c>
    </row>
    <row r="140" spans="1:45" x14ac:dyDescent="0.25">
      <c r="A140" s="15"/>
      <c r="B140" s="126"/>
      <c r="C140" s="151" t="str">
        <f>C120</f>
        <v>Barley</v>
      </c>
      <c r="D140" s="152">
        <v>0</v>
      </c>
      <c r="E140" s="153">
        <v>0</v>
      </c>
      <c r="F140" s="154">
        <v>0</v>
      </c>
      <c r="G140" s="153">
        <v>0</v>
      </c>
      <c r="H140" s="189">
        <v>0</v>
      </c>
      <c r="I140" s="152">
        <v>0</v>
      </c>
      <c r="J140" s="315">
        <v>0</v>
      </c>
      <c r="K140" s="155"/>
      <c r="L140" s="191">
        <f>$D$131*D140+$E$131*E140+$F$131*F140+$G$131*G140+$H$131*H140</f>
        <v>0</v>
      </c>
      <c r="M140" s="156">
        <f>$I$131*I140+$J$131*J140</f>
        <v>0</v>
      </c>
      <c r="N140" s="14"/>
      <c r="AG140" s="15"/>
      <c r="AH140" s="126"/>
      <c r="AI140" s="151" t="str">
        <f t="shared" si="36"/>
        <v>Barley</v>
      </c>
      <c r="AJ140" s="152">
        <f t="shared" si="38"/>
        <v>0</v>
      </c>
      <c r="AK140" s="153">
        <f t="shared" si="38"/>
        <v>0</v>
      </c>
      <c r="AL140" s="154">
        <f t="shared" si="38"/>
        <v>0</v>
      </c>
      <c r="AM140" s="153">
        <f t="shared" si="38"/>
        <v>0</v>
      </c>
      <c r="AN140" s="189">
        <f t="shared" si="38"/>
        <v>0</v>
      </c>
      <c r="AO140" s="152">
        <f t="shared" si="38"/>
        <v>0</v>
      </c>
      <c r="AP140" s="190">
        <f t="shared" si="38"/>
        <v>0</v>
      </c>
      <c r="AQ140" s="155"/>
      <c r="AR140" s="191">
        <f>$AJ$131*AJ140+$AK$131*AK140+$AL$131*AL140+$AM$131*AM140+$AN$131*AN140</f>
        <v>0</v>
      </c>
      <c r="AS140" s="156">
        <f>$I$131*AO140+$J$131*AP140</f>
        <v>0</v>
      </c>
    </row>
    <row r="141" spans="1:45" x14ac:dyDescent="0.25">
      <c r="A141" s="15"/>
      <c r="B141" s="157"/>
      <c r="C141" s="158" t="s">
        <v>135</v>
      </c>
      <c r="D141" s="192"/>
      <c r="E141" s="192"/>
      <c r="F141" s="192"/>
      <c r="G141" s="192"/>
      <c r="H141" s="192"/>
      <c r="I141" s="192"/>
      <c r="J141" s="316"/>
      <c r="K141" s="160"/>
      <c r="L141" s="160"/>
      <c r="M141" s="161"/>
      <c r="N141" s="14"/>
      <c r="AG141" s="15"/>
      <c r="AH141" s="157"/>
      <c r="AI141" s="158" t="str">
        <f t="shared" si="36"/>
        <v>Supplements</v>
      </c>
      <c r="AJ141" s="192"/>
      <c r="AK141" s="192"/>
      <c r="AL141" s="192"/>
      <c r="AM141" s="192"/>
      <c r="AN141" s="192"/>
      <c r="AO141" s="192"/>
      <c r="AP141" s="193"/>
      <c r="AQ141" s="160"/>
      <c r="AR141" s="160"/>
      <c r="AS141" s="161"/>
    </row>
    <row r="142" spans="1:45" x14ac:dyDescent="0.25">
      <c r="A142" s="15"/>
      <c r="B142" s="126"/>
      <c r="C142" s="151" t="str">
        <f t="shared" ref="C142:C147" si="39">C122</f>
        <v>Soybean Meal</v>
      </c>
      <c r="D142" s="152">
        <v>0</v>
      </c>
      <c r="E142" s="153">
        <v>0</v>
      </c>
      <c r="F142" s="154">
        <v>0</v>
      </c>
      <c r="G142" s="153">
        <v>0</v>
      </c>
      <c r="H142" s="189">
        <v>0</v>
      </c>
      <c r="I142" s="162">
        <v>0</v>
      </c>
      <c r="J142" s="315">
        <v>0</v>
      </c>
      <c r="K142" s="155"/>
      <c r="L142" s="191">
        <f>$D$131*D142+$E$131*E142+$F$131*F142+$G$131*G142+$H$131*H142</f>
        <v>0</v>
      </c>
      <c r="M142" s="156">
        <f t="shared" ref="M142:M147" si="40">$I$131*I142+$J$131*J142</f>
        <v>0</v>
      </c>
      <c r="N142" s="14"/>
      <c r="AG142" s="15"/>
      <c r="AH142" s="126"/>
      <c r="AI142" s="151" t="str">
        <f t="shared" si="36"/>
        <v>Soybean Meal</v>
      </c>
      <c r="AJ142" s="152">
        <f t="shared" ref="AJ142:AJ147" si="41">D142</f>
        <v>0</v>
      </c>
      <c r="AK142" s="153">
        <f t="shared" ref="AK142:AK147" si="42">E142</f>
        <v>0</v>
      </c>
      <c r="AL142" s="154">
        <f t="shared" ref="AL142:AL147" si="43">F142</f>
        <v>0</v>
      </c>
      <c r="AM142" s="153">
        <f t="shared" ref="AM142:AM147" si="44">G142</f>
        <v>0</v>
      </c>
      <c r="AN142" s="189">
        <f t="shared" ref="AN142:AN147" si="45">H142</f>
        <v>0</v>
      </c>
      <c r="AO142" s="162">
        <f t="shared" ref="AO142:AO147" si="46">I142</f>
        <v>0</v>
      </c>
      <c r="AP142" s="190">
        <f t="shared" ref="AP142:AP147" si="47">J142</f>
        <v>0</v>
      </c>
      <c r="AQ142" s="155"/>
      <c r="AR142" s="191">
        <f t="shared" ref="AR142:AR147" si="48">$AJ$131*AJ142+$AK$131*AK142+$AL$131*AL142+$AM$131*AM142+$AN$131*AN142</f>
        <v>0</v>
      </c>
      <c r="AS142" s="156">
        <f t="shared" ref="AS142:AS147" si="49">$I$131*AO142+$J$131*AP142</f>
        <v>0</v>
      </c>
    </row>
    <row r="143" spans="1:45" x14ac:dyDescent="0.25">
      <c r="A143" s="15"/>
      <c r="B143" s="126"/>
      <c r="C143" s="151" t="str">
        <f t="shared" si="39"/>
        <v>Pellet Protein Supplement</v>
      </c>
      <c r="D143" s="152">
        <v>0.1</v>
      </c>
      <c r="E143" s="153">
        <v>0.25</v>
      </c>
      <c r="F143" s="154">
        <v>0</v>
      </c>
      <c r="G143" s="153">
        <v>0</v>
      </c>
      <c r="H143" s="189">
        <v>0.1</v>
      </c>
      <c r="I143" s="162">
        <v>0.1</v>
      </c>
      <c r="J143" s="315">
        <v>0</v>
      </c>
      <c r="K143" s="155"/>
      <c r="L143" s="191">
        <f>$D$131*D143+$E$131*E143+$F$131*F143+$G$131*G143+$H$131*H143</f>
        <v>20.5</v>
      </c>
      <c r="M143" s="156">
        <f t="shared" si="40"/>
        <v>16.5</v>
      </c>
      <c r="N143" s="14"/>
      <c r="AG143" s="15"/>
      <c r="AH143" s="126"/>
      <c r="AI143" s="151" t="str">
        <f t="shared" si="36"/>
        <v>Pellet Protein Supplement</v>
      </c>
      <c r="AJ143" s="152">
        <f t="shared" si="41"/>
        <v>0.1</v>
      </c>
      <c r="AK143" s="153">
        <f t="shared" si="42"/>
        <v>0.25</v>
      </c>
      <c r="AL143" s="154">
        <f t="shared" si="43"/>
        <v>0</v>
      </c>
      <c r="AM143" s="153">
        <f t="shared" si="44"/>
        <v>0</v>
      </c>
      <c r="AN143" s="189">
        <f t="shared" si="45"/>
        <v>0.1</v>
      </c>
      <c r="AO143" s="162">
        <f t="shared" si="46"/>
        <v>0.1</v>
      </c>
      <c r="AP143" s="190">
        <f t="shared" si="47"/>
        <v>0</v>
      </c>
      <c r="AQ143" s="155"/>
      <c r="AR143" s="191">
        <f t="shared" si="48"/>
        <v>20.5</v>
      </c>
      <c r="AS143" s="156">
        <f t="shared" si="49"/>
        <v>16.5</v>
      </c>
    </row>
    <row r="144" spans="1:45" x14ac:dyDescent="0.25">
      <c r="A144" s="15"/>
      <c r="B144" s="126"/>
      <c r="C144" s="151" t="str">
        <f t="shared" si="39"/>
        <v>Corn Distillers</v>
      </c>
      <c r="D144" s="152">
        <v>0</v>
      </c>
      <c r="E144" s="153">
        <v>0</v>
      </c>
      <c r="F144" s="154">
        <v>0</v>
      </c>
      <c r="G144" s="153">
        <v>0</v>
      </c>
      <c r="H144" s="189">
        <v>0</v>
      </c>
      <c r="I144" s="152">
        <v>0</v>
      </c>
      <c r="J144" s="315">
        <v>0</v>
      </c>
      <c r="K144" s="155"/>
      <c r="L144" s="191">
        <f>$D$111*D144+$E$111*E144+$F$111*F144+$G$111*G144+$H$111*H144</f>
        <v>0</v>
      </c>
      <c r="M144" s="156">
        <f t="shared" si="40"/>
        <v>0</v>
      </c>
      <c r="N144" s="14"/>
      <c r="AG144" s="15"/>
      <c r="AH144" s="126"/>
      <c r="AI144" s="151" t="str">
        <f t="shared" si="36"/>
        <v>Corn Distillers</v>
      </c>
      <c r="AJ144" s="152">
        <f t="shared" si="41"/>
        <v>0</v>
      </c>
      <c r="AK144" s="153">
        <f t="shared" si="42"/>
        <v>0</v>
      </c>
      <c r="AL144" s="154">
        <f t="shared" si="43"/>
        <v>0</v>
      </c>
      <c r="AM144" s="153">
        <f t="shared" si="44"/>
        <v>0</v>
      </c>
      <c r="AN144" s="189">
        <f t="shared" si="45"/>
        <v>0</v>
      </c>
      <c r="AO144" s="152">
        <f t="shared" si="46"/>
        <v>0</v>
      </c>
      <c r="AP144" s="190">
        <f t="shared" si="47"/>
        <v>0</v>
      </c>
      <c r="AQ144" s="155"/>
      <c r="AR144" s="191">
        <f t="shared" si="48"/>
        <v>0</v>
      </c>
      <c r="AS144" s="156">
        <f t="shared" si="49"/>
        <v>0</v>
      </c>
    </row>
    <row r="145" spans="1:45" x14ac:dyDescent="0.25">
      <c r="A145" s="15"/>
      <c r="B145" s="126"/>
      <c r="C145" s="151" t="str">
        <f t="shared" si="39"/>
        <v xml:space="preserve">Salt </v>
      </c>
      <c r="D145" s="162">
        <v>0.02</v>
      </c>
      <c r="E145" s="163">
        <v>0.02</v>
      </c>
      <c r="F145" s="164">
        <v>0.02</v>
      </c>
      <c r="G145" s="163">
        <v>0.02</v>
      </c>
      <c r="H145" s="194">
        <v>0.02</v>
      </c>
      <c r="I145" s="163">
        <v>0.02</v>
      </c>
      <c r="J145" s="163">
        <v>0.02</v>
      </c>
      <c r="K145" s="155"/>
      <c r="L145" s="191">
        <f>($D$131*D145+$E$131*E145+$F$131*F145+$G$131*G145+$H$131*H145)+((365-D130-E130-F130-G130-H130)*H145)</f>
        <v>14.600000000000001</v>
      </c>
      <c r="M145" s="156">
        <f t="shared" si="40"/>
        <v>7.3000000000000007</v>
      </c>
      <c r="N145" s="14"/>
      <c r="AG145" s="15"/>
      <c r="AH145" s="126"/>
      <c r="AI145" s="151" t="str">
        <f t="shared" si="36"/>
        <v xml:space="preserve">Salt </v>
      </c>
      <c r="AJ145" s="162">
        <f t="shared" si="41"/>
        <v>0.02</v>
      </c>
      <c r="AK145" s="163">
        <f t="shared" si="42"/>
        <v>0.02</v>
      </c>
      <c r="AL145" s="164">
        <f t="shared" si="43"/>
        <v>0.02</v>
      </c>
      <c r="AM145" s="163">
        <f t="shared" si="44"/>
        <v>0.02</v>
      </c>
      <c r="AN145" s="194">
        <f t="shared" si="45"/>
        <v>0.02</v>
      </c>
      <c r="AO145" s="163">
        <f t="shared" si="46"/>
        <v>0.02</v>
      </c>
      <c r="AP145" s="163">
        <f t="shared" si="47"/>
        <v>0.02</v>
      </c>
      <c r="AQ145" s="155"/>
      <c r="AR145" s="191">
        <f>($AJ$131*AJ145+$AK$131*AK145+$AL$131*AL145+$AM$131*AM145+$AN$131*AN145)+((365-AJ130-AK130-AL130-AM130-AN130)*AN145)</f>
        <v>14.600000000000001</v>
      </c>
      <c r="AS145" s="156">
        <f t="shared" si="49"/>
        <v>7.3000000000000007</v>
      </c>
    </row>
    <row r="146" spans="1:45" x14ac:dyDescent="0.25">
      <c r="A146" s="15"/>
      <c r="B146" s="126"/>
      <c r="C146" s="151" t="str">
        <f t="shared" si="39"/>
        <v>Mineral</v>
      </c>
      <c r="D146" s="162">
        <v>0.03</v>
      </c>
      <c r="E146" s="163">
        <v>0.03</v>
      </c>
      <c r="F146" s="164">
        <v>0.03</v>
      </c>
      <c r="G146" s="163">
        <v>0.03</v>
      </c>
      <c r="H146" s="194">
        <v>0.03</v>
      </c>
      <c r="I146" s="163">
        <v>0.03</v>
      </c>
      <c r="J146" s="163">
        <v>0.03</v>
      </c>
      <c r="K146" s="155"/>
      <c r="L146" s="191">
        <f>($D$131*D146+$E$131*E146+$F$131*F146+$G$131*G146+$H$131*H146)+((365-D131-E131-F131-G131-H131)*H146)</f>
        <v>10.95</v>
      </c>
      <c r="M146" s="156">
        <f t="shared" si="40"/>
        <v>10.95</v>
      </c>
      <c r="N146" s="14"/>
      <c r="AG146" s="15"/>
      <c r="AH146" s="126"/>
      <c r="AI146" s="151" t="str">
        <f t="shared" si="36"/>
        <v>Mineral</v>
      </c>
      <c r="AJ146" s="162">
        <f t="shared" si="41"/>
        <v>0.03</v>
      </c>
      <c r="AK146" s="163">
        <f t="shared" si="42"/>
        <v>0.03</v>
      </c>
      <c r="AL146" s="164">
        <f t="shared" si="43"/>
        <v>0.03</v>
      </c>
      <c r="AM146" s="163">
        <f t="shared" si="44"/>
        <v>0.03</v>
      </c>
      <c r="AN146" s="194">
        <f t="shared" si="45"/>
        <v>0.03</v>
      </c>
      <c r="AO146" s="163">
        <f t="shared" si="46"/>
        <v>0.03</v>
      </c>
      <c r="AP146" s="163">
        <f t="shared" si="47"/>
        <v>0.03</v>
      </c>
      <c r="AQ146" s="155"/>
      <c r="AR146" s="191">
        <f t="shared" si="48"/>
        <v>10.95</v>
      </c>
      <c r="AS146" s="156">
        <f t="shared" si="49"/>
        <v>10.95</v>
      </c>
    </row>
    <row r="147" spans="1:45" x14ac:dyDescent="0.25">
      <c r="A147" s="15"/>
      <c r="B147" s="165"/>
      <c r="C147" s="166" t="str">
        <f t="shared" si="39"/>
        <v>Pasture</v>
      </c>
      <c r="D147" s="317">
        <v>0</v>
      </c>
      <c r="E147" s="317">
        <v>0</v>
      </c>
      <c r="F147" s="317">
        <v>4.3</v>
      </c>
      <c r="G147" s="317">
        <v>4.3</v>
      </c>
      <c r="H147" s="317">
        <v>0</v>
      </c>
      <c r="I147" s="317">
        <v>0</v>
      </c>
      <c r="J147" s="318">
        <v>6.2</v>
      </c>
      <c r="K147" s="170"/>
      <c r="L147" s="197">
        <f>$D$131*D147+$E$131*E147+$F$131*F147+$G$131*G147+$H$131*H147</f>
        <v>881.5</v>
      </c>
      <c r="M147" s="171">
        <f t="shared" si="40"/>
        <v>1240</v>
      </c>
      <c r="N147" s="14"/>
      <c r="AG147" s="15"/>
      <c r="AH147" s="165"/>
      <c r="AI147" s="166" t="str">
        <f t="shared" si="36"/>
        <v>Pasture</v>
      </c>
      <c r="AJ147" s="195">
        <f t="shared" si="41"/>
        <v>0</v>
      </c>
      <c r="AK147" s="195">
        <f t="shared" si="42"/>
        <v>0</v>
      </c>
      <c r="AL147" s="195">
        <f t="shared" si="43"/>
        <v>4.3</v>
      </c>
      <c r="AM147" s="195">
        <f t="shared" si="44"/>
        <v>4.3</v>
      </c>
      <c r="AN147" s="195">
        <f t="shared" si="45"/>
        <v>0</v>
      </c>
      <c r="AO147" s="195">
        <f t="shared" si="46"/>
        <v>0</v>
      </c>
      <c r="AP147" s="196">
        <f t="shared" si="47"/>
        <v>6.2</v>
      </c>
      <c r="AQ147" s="170"/>
      <c r="AR147" s="191">
        <f t="shared" si="48"/>
        <v>881.5</v>
      </c>
      <c r="AS147" s="171">
        <f t="shared" si="49"/>
        <v>1240</v>
      </c>
    </row>
    <row r="148" spans="1:45" x14ac:dyDescent="0.25">
      <c r="A148" s="15"/>
      <c r="B148" s="120"/>
      <c r="C148" s="120"/>
      <c r="D148" s="254"/>
      <c r="E148" s="120"/>
      <c r="F148" s="120"/>
      <c r="G148" s="120"/>
      <c r="H148" s="120"/>
      <c r="I148" s="120"/>
      <c r="J148" s="255"/>
      <c r="K148" s="120"/>
      <c r="L148" s="120"/>
      <c r="M148" s="120"/>
      <c r="N148" s="14"/>
      <c r="AG148" s="15"/>
      <c r="AH148" s="120"/>
      <c r="AI148" s="120"/>
      <c r="AJ148" s="254"/>
      <c r="AK148" s="120"/>
      <c r="AL148" s="120"/>
      <c r="AM148" s="120"/>
      <c r="AN148" s="120"/>
      <c r="AO148" s="120"/>
      <c r="AP148" s="255"/>
      <c r="AQ148" s="120"/>
      <c r="AR148" s="120"/>
      <c r="AS148" s="120"/>
    </row>
    <row r="149" spans="1:45" x14ac:dyDescent="0.25">
      <c r="A149" s="15"/>
      <c r="B149" s="15"/>
      <c r="C149" s="15"/>
      <c r="D149" s="256" t="s">
        <v>213</v>
      </c>
      <c r="E149" s="257"/>
      <c r="F149" s="257"/>
      <c r="G149" s="257"/>
      <c r="H149" s="258"/>
      <c r="I149" s="15"/>
      <c r="J149" s="15"/>
      <c r="K149" s="15"/>
      <c r="L149" s="15"/>
      <c r="M149" s="14"/>
      <c r="N149" s="14"/>
      <c r="AG149" s="15"/>
      <c r="AH149" s="15"/>
      <c r="AI149" s="15"/>
      <c r="AJ149" s="256" t="s">
        <v>213</v>
      </c>
      <c r="AK149" s="257"/>
      <c r="AL149" s="257"/>
      <c r="AM149" s="257"/>
      <c r="AN149" s="258"/>
      <c r="AO149" s="15"/>
      <c r="AP149" s="15"/>
      <c r="AQ149" s="15"/>
      <c r="AR149" s="15"/>
      <c r="AS149" s="14"/>
    </row>
    <row r="150" spans="1:45" ht="12" customHeight="1" x14ac:dyDescent="0.2">
      <c r="A150" s="15"/>
      <c r="B150" s="15"/>
      <c r="C150" s="15"/>
      <c r="D150" s="252" t="s">
        <v>214</v>
      </c>
      <c r="E150" s="141"/>
      <c r="F150" s="141"/>
      <c r="G150" s="141"/>
      <c r="H150" s="253"/>
      <c r="I150" s="15"/>
      <c r="J150" s="15"/>
      <c r="K150" s="15"/>
      <c r="L150" s="15"/>
      <c r="M150" s="14"/>
      <c r="N150" s="14"/>
      <c r="AG150" s="15"/>
      <c r="AH150" s="15"/>
      <c r="AI150" s="15"/>
      <c r="AJ150" s="252" t="s">
        <v>214</v>
      </c>
      <c r="AK150" s="141"/>
      <c r="AL150" s="141"/>
      <c r="AM150" s="141"/>
      <c r="AN150" s="253"/>
      <c r="AO150" s="15"/>
      <c r="AP150" s="15"/>
      <c r="AQ150" s="15"/>
      <c r="AR150" s="15"/>
      <c r="AS150" s="14"/>
    </row>
    <row r="151" spans="1:45" ht="15" x14ac:dyDescent="0.2">
      <c r="A151" s="15"/>
      <c r="B151" s="15"/>
      <c r="C151" s="15"/>
      <c r="D151" s="252" t="s">
        <v>215</v>
      </c>
      <c r="E151" s="141"/>
      <c r="F151" s="141"/>
      <c r="G151" s="198"/>
      <c r="H151" s="145"/>
      <c r="I151" s="15"/>
      <c r="J151" s="15"/>
      <c r="K151" s="15"/>
      <c r="L151" s="15"/>
      <c r="M151" s="14"/>
      <c r="N151" s="14"/>
      <c r="AG151" s="15"/>
      <c r="AH151" s="15"/>
      <c r="AI151" s="15"/>
      <c r="AJ151" s="252" t="s">
        <v>215</v>
      </c>
      <c r="AK151" s="141"/>
      <c r="AL151" s="141"/>
      <c r="AM151" s="198"/>
      <c r="AN151" s="145"/>
      <c r="AO151" s="15"/>
      <c r="AP151" s="15"/>
      <c r="AQ151" s="15"/>
      <c r="AR151" s="15"/>
      <c r="AS151" s="14"/>
    </row>
    <row r="152" spans="1:45" x14ac:dyDescent="0.25">
      <c r="A152" s="15"/>
      <c r="B152" s="15"/>
      <c r="C152" s="15"/>
      <c r="D152" s="199">
        <v>0.05</v>
      </c>
      <c r="E152" s="200" t="s">
        <v>116</v>
      </c>
      <c r="F152" s="127"/>
      <c r="G152" s="127"/>
      <c r="H152" s="145"/>
      <c r="I152" s="15"/>
      <c r="J152" s="15"/>
      <c r="K152" s="15"/>
      <c r="L152" s="15"/>
      <c r="M152" s="14"/>
      <c r="N152" s="14"/>
      <c r="AG152" s="15"/>
      <c r="AH152" s="15"/>
      <c r="AI152" s="15"/>
      <c r="AJ152" s="199">
        <f t="shared" ref="AJ152:AJ162" si="50">D152</f>
        <v>0.05</v>
      </c>
      <c r="AK152" s="200" t="str">
        <f t="shared" ref="AK152:AK162" si="51">E152</f>
        <v>Mixed Hay</v>
      </c>
      <c r="AL152" s="127"/>
      <c r="AM152" s="127"/>
      <c r="AN152" s="145"/>
      <c r="AO152" s="15"/>
      <c r="AP152" s="15"/>
      <c r="AQ152" s="15"/>
      <c r="AR152" s="15"/>
      <c r="AS152" s="14"/>
    </row>
    <row r="153" spans="1:45" x14ac:dyDescent="0.25">
      <c r="A153" s="15"/>
      <c r="B153" s="15"/>
      <c r="C153" s="15"/>
      <c r="D153" s="199">
        <v>0</v>
      </c>
      <c r="E153" s="200" t="s">
        <v>117</v>
      </c>
      <c r="F153" s="127"/>
      <c r="G153" s="127"/>
      <c r="H153" s="145"/>
      <c r="I153" s="15"/>
      <c r="J153" s="15"/>
      <c r="K153" s="15"/>
      <c r="L153" s="15"/>
      <c r="M153" s="14"/>
      <c r="N153" s="14"/>
      <c r="AG153" s="15"/>
      <c r="AH153" s="15"/>
      <c r="AI153" s="15"/>
      <c r="AJ153" s="199">
        <f t="shared" si="50"/>
        <v>0</v>
      </c>
      <c r="AK153" s="200" t="str">
        <f t="shared" si="51"/>
        <v>Alfalfa Hay</v>
      </c>
      <c r="AL153" s="127"/>
      <c r="AM153" s="127"/>
      <c r="AN153" s="145"/>
      <c r="AO153" s="15"/>
      <c r="AP153" s="15"/>
      <c r="AQ153" s="15"/>
      <c r="AR153" s="15"/>
      <c r="AS153" s="14"/>
    </row>
    <row r="154" spans="1:45" x14ac:dyDescent="0.25">
      <c r="A154" s="15"/>
      <c r="B154" s="15"/>
      <c r="C154" s="15"/>
      <c r="D154" s="199">
        <v>0</v>
      </c>
      <c r="E154" s="200" t="s">
        <v>130</v>
      </c>
      <c r="F154" s="127"/>
      <c r="G154" s="127"/>
      <c r="H154" s="145"/>
      <c r="I154" s="15"/>
      <c r="J154" s="15"/>
      <c r="K154" s="15"/>
      <c r="L154" s="15"/>
      <c r="M154" s="14"/>
      <c r="N154" s="14"/>
      <c r="AG154" s="15"/>
      <c r="AH154" s="15"/>
      <c r="AI154" s="15"/>
      <c r="AJ154" s="199">
        <f t="shared" si="50"/>
        <v>0</v>
      </c>
      <c r="AK154" s="200" t="str">
        <f t="shared" si="51"/>
        <v>Corn Silage</v>
      </c>
      <c r="AL154" s="127"/>
      <c r="AM154" s="127"/>
      <c r="AN154" s="145"/>
      <c r="AO154" s="15"/>
      <c r="AP154" s="15"/>
      <c r="AQ154" s="15"/>
      <c r="AR154" s="15"/>
      <c r="AS154" s="14"/>
    </row>
    <row r="155" spans="1:45" x14ac:dyDescent="0.25">
      <c r="A155" s="15"/>
      <c r="B155" s="15"/>
      <c r="C155" s="15"/>
      <c r="D155" s="199">
        <v>0</v>
      </c>
      <c r="E155" s="200" t="s">
        <v>131</v>
      </c>
      <c r="F155" s="127"/>
      <c r="G155" s="127"/>
      <c r="H155" s="145"/>
      <c r="I155" s="15"/>
      <c r="J155" s="15"/>
      <c r="K155" s="15"/>
      <c r="L155" s="15"/>
      <c r="M155" s="14"/>
      <c r="N155" s="14"/>
      <c r="AG155" s="15"/>
      <c r="AH155" s="15"/>
      <c r="AI155" s="15"/>
      <c r="AJ155" s="199">
        <f t="shared" si="50"/>
        <v>0</v>
      </c>
      <c r="AK155" s="200" t="str">
        <f t="shared" si="51"/>
        <v>Haylage</v>
      </c>
      <c r="AL155" s="127"/>
      <c r="AM155" s="127"/>
      <c r="AN155" s="145"/>
      <c r="AO155" s="15"/>
      <c r="AP155" s="15"/>
      <c r="AQ155" s="15"/>
      <c r="AR155" s="15"/>
      <c r="AS155" s="14"/>
    </row>
    <row r="156" spans="1:45" x14ac:dyDescent="0.25">
      <c r="A156" s="15"/>
      <c r="B156" s="15"/>
      <c r="C156" s="15"/>
      <c r="D156" s="199">
        <v>0.84970000000000001</v>
      </c>
      <c r="E156" s="200" t="s">
        <v>119</v>
      </c>
      <c r="F156" s="127"/>
      <c r="G156" s="127"/>
      <c r="H156" s="145"/>
      <c r="I156" s="15"/>
      <c r="J156" s="15"/>
      <c r="K156" s="15"/>
      <c r="L156" s="15"/>
      <c r="M156" s="14"/>
      <c r="N156" s="14"/>
      <c r="AG156" s="15"/>
      <c r="AH156" s="15"/>
      <c r="AI156" s="15"/>
      <c r="AJ156" s="199">
        <f t="shared" si="50"/>
        <v>0.84970000000000001</v>
      </c>
      <c r="AK156" s="200" t="str">
        <f t="shared" si="51"/>
        <v xml:space="preserve">Corn  </v>
      </c>
      <c r="AL156" s="127"/>
      <c r="AM156" s="127"/>
      <c r="AN156" s="145"/>
      <c r="AO156" s="15"/>
      <c r="AP156" s="15"/>
      <c r="AQ156" s="15"/>
      <c r="AR156" s="15"/>
      <c r="AS156" s="14"/>
    </row>
    <row r="157" spans="1:45" x14ac:dyDescent="0.25">
      <c r="A157" s="15"/>
      <c r="B157" s="15"/>
      <c r="C157" s="15"/>
      <c r="D157" s="199">
        <v>0</v>
      </c>
      <c r="E157" s="200" t="s">
        <v>120</v>
      </c>
      <c r="F157" s="127"/>
      <c r="G157" s="127"/>
      <c r="H157" s="145"/>
      <c r="I157" s="15"/>
      <c r="J157" s="15"/>
      <c r="K157" s="15"/>
      <c r="L157" s="15"/>
      <c r="M157" s="14"/>
      <c r="N157" s="14"/>
      <c r="AG157" s="15"/>
      <c r="AH157" s="15"/>
      <c r="AI157" s="15"/>
      <c r="AJ157" s="199">
        <f t="shared" si="50"/>
        <v>0</v>
      </c>
      <c r="AK157" s="200" t="str">
        <f t="shared" si="51"/>
        <v>Barley</v>
      </c>
      <c r="AL157" s="127"/>
      <c r="AM157" s="127"/>
      <c r="AN157" s="145"/>
      <c r="AO157" s="15"/>
      <c r="AP157" s="15"/>
      <c r="AQ157" s="15"/>
      <c r="AR157" s="15"/>
      <c r="AS157" s="14"/>
    </row>
    <row r="158" spans="1:45" x14ac:dyDescent="0.25">
      <c r="A158" s="15"/>
      <c r="B158" s="15"/>
      <c r="C158" s="15"/>
      <c r="D158" s="199">
        <v>0.1</v>
      </c>
      <c r="E158" s="200" t="s">
        <v>216</v>
      </c>
      <c r="F158" s="127"/>
      <c r="G158" s="127"/>
      <c r="H158" s="145"/>
      <c r="I158" s="15"/>
      <c r="J158" s="15"/>
      <c r="K158" s="15"/>
      <c r="L158" s="15"/>
      <c r="M158" s="14"/>
      <c r="N158" s="14"/>
      <c r="AG158" s="15"/>
      <c r="AH158" s="15"/>
      <c r="AI158" s="15"/>
      <c r="AJ158" s="199">
        <f t="shared" si="50"/>
        <v>0.1</v>
      </c>
      <c r="AK158" s="200" t="str">
        <f t="shared" si="51"/>
        <v>Protein Supplement Pellet</v>
      </c>
      <c r="AL158" s="127"/>
      <c r="AM158" s="127"/>
      <c r="AN158" s="145"/>
      <c r="AO158" s="15"/>
      <c r="AP158" s="15"/>
      <c r="AQ158" s="15"/>
      <c r="AR158" s="15"/>
      <c r="AS158" s="14"/>
    </row>
    <row r="159" spans="1:45" x14ac:dyDescent="0.25">
      <c r="A159" s="15"/>
      <c r="B159" s="15"/>
      <c r="C159" s="15"/>
      <c r="D159" s="199">
        <v>0</v>
      </c>
      <c r="E159" s="200" t="s">
        <v>122</v>
      </c>
      <c r="F159" s="127"/>
      <c r="G159" s="127"/>
      <c r="H159" s="145"/>
      <c r="I159" s="15"/>
      <c r="J159" s="15"/>
      <c r="K159" s="15"/>
      <c r="L159" s="15"/>
      <c r="M159" s="14"/>
      <c r="N159" s="14"/>
      <c r="AG159" s="15"/>
      <c r="AH159" s="15"/>
      <c r="AI159" s="15"/>
      <c r="AJ159" s="199">
        <f t="shared" si="50"/>
        <v>0</v>
      </c>
      <c r="AK159" s="200" t="str">
        <f t="shared" si="51"/>
        <v>Soybean meal</v>
      </c>
      <c r="AL159" s="127"/>
      <c r="AM159" s="127"/>
      <c r="AN159" s="145"/>
      <c r="AO159" s="15"/>
      <c r="AP159" s="15"/>
      <c r="AQ159" s="15"/>
      <c r="AR159" s="15"/>
      <c r="AS159" s="14"/>
    </row>
    <row r="160" spans="1:45" x14ac:dyDescent="0.25">
      <c r="A160" s="15"/>
      <c r="B160" s="15"/>
      <c r="C160" s="15"/>
      <c r="D160" s="201">
        <v>1E-4</v>
      </c>
      <c r="E160" s="200" t="s">
        <v>123</v>
      </c>
      <c r="F160" s="127"/>
      <c r="G160" s="127"/>
      <c r="H160" s="145"/>
      <c r="I160" s="15"/>
      <c r="J160" s="15"/>
      <c r="K160" s="15"/>
      <c r="L160" s="15"/>
      <c r="M160" s="14"/>
      <c r="N160" s="14"/>
      <c r="AG160" s="15"/>
      <c r="AH160" s="15"/>
      <c r="AI160" s="15"/>
      <c r="AJ160" s="201">
        <f t="shared" si="50"/>
        <v>1E-4</v>
      </c>
      <c r="AK160" s="200" t="str">
        <f t="shared" si="51"/>
        <v>Salt</v>
      </c>
      <c r="AL160" s="127"/>
      <c r="AM160" s="127"/>
      <c r="AN160" s="145"/>
      <c r="AO160" s="15"/>
      <c r="AP160" s="15"/>
      <c r="AQ160" s="15"/>
      <c r="AR160" s="15"/>
      <c r="AS160" s="14"/>
    </row>
    <row r="161" spans="1:45" x14ac:dyDescent="0.25">
      <c r="A161" s="15"/>
      <c r="B161" s="15"/>
      <c r="C161" s="15"/>
      <c r="D161" s="201">
        <v>2.0000000000000001E-4</v>
      </c>
      <c r="E161" s="200" t="s">
        <v>124</v>
      </c>
      <c r="F161" s="127"/>
      <c r="G161" s="127"/>
      <c r="H161" s="145"/>
      <c r="I161" s="15"/>
      <c r="J161" s="15"/>
      <c r="K161" s="15"/>
      <c r="L161" s="15"/>
      <c r="M161" s="14"/>
      <c r="N161" s="14"/>
      <c r="AG161" s="15"/>
      <c r="AH161" s="15"/>
      <c r="AI161" s="15"/>
      <c r="AJ161" s="201">
        <f t="shared" si="50"/>
        <v>2.0000000000000001E-4</v>
      </c>
      <c r="AK161" s="200" t="str">
        <f t="shared" si="51"/>
        <v>Mineral</v>
      </c>
      <c r="AL161" s="127"/>
      <c r="AM161" s="127"/>
      <c r="AN161" s="145"/>
      <c r="AO161" s="15"/>
      <c r="AP161" s="15"/>
      <c r="AQ161" s="15"/>
      <c r="AR161" s="15"/>
      <c r="AS161" s="14"/>
    </row>
    <row r="162" spans="1:45" x14ac:dyDescent="0.25">
      <c r="A162" s="15"/>
      <c r="B162" s="15"/>
      <c r="C162" s="15"/>
      <c r="D162" s="202">
        <v>0</v>
      </c>
      <c r="E162" s="203" t="s">
        <v>217</v>
      </c>
      <c r="F162" s="127"/>
      <c r="G162" s="127"/>
      <c r="H162" s="145"/>
      <c r="I162" s="15"/>
      <c r="J162" s="15"/>
      <c r="K162" s="15"/>
      <c r="L162" s="15"/>
      <c r="M162" s="14"/>
      <c r="N162" s="14"/>
      <c r="AG162" s="15"/>
      <c r="AH162" s="15"/>
      <c r="AI162" s="15"/>
      <c r="AJ162" s="202">
        <f t="shared" si="50"/>
        <v>0</v>
      </c>
      <c r="AK162" s="203" t="str">
        <f t="shared" si="51"/>
        <v>Other</v>
      </c>
      <c r="AL162" s="127"/>
      <c r="AM162" s="127"/>
      <c r="AN162" s="145"/>
      <c r="AO162" s="15"/>
      <c r="AP162" s="15"/>
      <c r="AQ162" s="15"/>
      <c r="AR162" s="15"/>
      <c r="AS162" s="14"/>
    </row>
    <row r="163" spans="1:45" ht="15" x14ac:dyDescent="0.2">
      <c r="A163" s="15"/>
      <c r="B163" s="15"/>
      <c r="C163" s="15"/>
      <c r="D163" s="204">
        <f>SUM(D152:D162)</f>
        <v>1</v>
      </c>
      <c r="E163" s="205"/>
      <c r="F163" s="205"/>
      <c r="G163" s="205"/>
      <c r="H163" s="206"/>
      <c r="I163" s="15"/>
      <c r="J163" s="15"/>
      <c r="K163" s="15"/>
      <c r="L163" s="15"/>
      <c r="M163" s="14"/>
      <c r="N163" s="14"/>
      <c r="AG163" s="15"/>
      <c r="AH163" s="15"/>
      <c r="AI163" s="15"/>
      <c r="AJ163" s="204">
        <f>SUM(AJ152:AJ162)</f>
        <v>1</v>
      </c>
      <c r="AK163" s="205"/>
      <c r="AL163" s="205"/>
      <c r="AM163" s="205"/>
      <c r="AN163" s="206"/>
      <c r="AO163" s="15"/>
      <c r="AP163" s="15"/>
      <c r="AQ163" s="15"/>
      <c r="AR163" s="15"/>
      <c r="AS163" s="14"/>
    </row>
    <row r="164" spans="1:45" x14ac:dyDescent="0.25">
      <c r="A164" s="15"/>
      <c r="B164" s="15"/>
      <c r="C164" s="15"/>
      <c r="D164" s="18"/>
      <c r="E164" s="15"/>
      <c r="F164" s="15"/>
      <c r="G164" s="15"/>
      <c r="H164" s="15"/>
      <c r="I164" s="15"/>
      <c r="J164" s="15"/>
      <c r="K164" s="15"/>
      <c r="L164" s="15"/>
      <c r="M164" s="14"/>
      <c r="N164" s="14"/>
      <c r="AG164" s="15"/>
      <c r="AH164" s="15"/>
      <c r="AI164" s="15"/>
      <c r="AJ164" s="18"/>
      <c r="AK164" s="15"/>
      <c r="AL164" s="15"/>
      <c r="AM164" s="15"/>
      <c r="AN164" s="15"/>
      <c r="AO164" s="15"/>
      <c r="AP164" s="15"/>
      <c r="AQ164" s="15"/>
      <c r="AR164" s="15"/>
      <c r="AS164" s="14"/>
    </row>
    <row r="165" spans="1:45" x14ac:dyDescent="0.25">
      <c r="A165" s="15"/>
      <c r="B165" s="15"/>
      <c r="C165" s="15"/>
      <c r="D165" s="18"/>
      <c r="E165" s="15"/>
      <c r="F165" s="15"/>
      <c r="G165" s="15"/>
      <c r="H165" s="15"/>
      <c r="I165" s="15"/>
      <c r="J165" s="15"/>
      <c r="K165" s="15"/>
      <c r="L165" s="15"/>
      <c r="M165" s="14"/>
      <c r="N165" s="14"/>
      <c r="AG165" s="15"/>
      <c r="AH165" s="15"/>
      <c r="AI165" s="15"/>
      <c r="AJ165" s="18"/>
      <c r="AK165" s="15"/>
      <c r="AL165" s="15"/>
      <c r="AM165" s="15"/>
      <c r="AN165" s="15"/>
      <c r="AO165" s="15"/>
      <c r="AP165" s="15"/>
      <c r="AQ165" s="15"/>
      <c r="AR165" s="15"/>
      <c r="AS165" s="14"/>
    </row>
    <row r="166" spans="1:45" x14ac:dyDescent="0.25">
      <c r="A166" s="15"/>
      <c r="B166" s="15"/>
      <c r="C166" s="15"/>
      <c r="D166" s="18"/>
      <c r="E166" s="15"/>
      <c r="F166" s="15"/>
      <c r="G166" s="15"/>
      <c r="H166" s="15"/>
      <c r="I166" s="15"/>
      <c r="J166" s="15"/>
      <c r="K166" s="15"/>
      <c r="L166" s="15"/>
      <c r="M166" s="14"/>
      <c r="N166" s="14"/>
      <c r="AG166" s="15"/>
      <c r="AH166" s="15"/>
      <c r="AI166" s="15"/>
      <c r="AJ166" s="18"/>
      <c r="AK166" s="15"/>
      <c r="AL166" s="15"/>
      <c r="AM166" s="15"/>
      <c r="AN166" s="15"/>
      <c r="AO166" s="15"/>
      <c r="AP166" s="15"/>
      <c r="AQ166" s="15"/>
      <c r="AR166" s="15"/>
      <c r="AS166" s="14"/>
    </row>
    <row r="167" spans="1:45" x14ac:dyDescent="0.25">
      <c r="A167" s="207" t="s">
        <v>218</v>
      </c>
      <c r="B167" s="208"/>
      <c r="C167" s="208"/>
      <c r="D167" s="209"/>
      <c r="E167" s="208"/>
      <c r="F167" s="210">
        <f>L108</f>
        <v>820</v>
      </c>
      <c r="G167" s="208" t="s">
        <v>219</v>
      </c>
      <c r="H167" s="208"/>
      <c r="I167" s="211"/>
      <c r="J167" s="15"/>
      <c r="K167" s="15"/>
      <c r="L167" s="15"/>
      <c r="M167" s="14"/>
      <c r="N167" s="14"/>
      <c r="AG167" s="207" t="s">
        <v>218</v>
      </c>
      <c r="AH167" s="208"/>
      <c r="AI167" s="208"/>
      <c r="AJ167" s="209"/>
      <c r="AK167" s="208"/>
      <c r="AL167" s="210">
        <f>AR108</f>
        <v>820</v>
      </c>
      <c r="AM167" s="208" t="s">
        <v>219</v>
      </c>
      <c r="AN167" s="208"/>
      <c r="AO167" s="211"/>
      <c r="AP167" s="15"/>
      <c r="AQ167" s="15"/>
      <c r="AR167" s="15"/>
      <c r="AS167" s="14"/>
    </row>
    <row r="168" spans="1:45" x14ac:dyDescent="0.25">
      <c r="A168" s="77"/>
      <c r="B168" s="15"/>
      <c r="C168" s="15"/>
      <c r="D168" s="18"/>
      <c r="E168" s="15"/>
      <c r="F168" s="40">
        <f>M108</f>
        <v>20</v>
      </c>
      <c r="G168" s="15" t="s">
        <v>220</v>
      </c>
      <c r="H168" s="15"/>
      <c r="I168" s="78"/>
      <c r="J168" s="15"/>
      <c r="K168" s="15"/>
      <c r="L168" s="15"/>
      <c r="M168" s="14"/>
      <c r="N168" s="14"/>
      <c r="AG168" s="77"/>
      <c r="AH168" s="15"/>
      <c r="AI168" s="15"/>
      <c r="AJ168" s="18"/>
      <c r="AK168" s="15"/>
      <c r="AL168" s="40">
        <f>AS108</f>
        <v>20</v>
      </c>
      <c r="AM168" s="15" t="s">
        <v>220</v>
      </c>
      <c r="AN168" s="15"/>
      <c r="AO168" s="78"/>
      <c r="AP168" s="15"/>
      <c r="AQ168" s="15"/>
      <c r="AR168" s="15"/>
      <c r="AS168" s="14"/>
    </row>
    <row r="169" spans="1:45" ht="63" x14ac:dyDescent="0.25">
      <c r="A169" s="212" t="s">
        <v>221</v>
      </c>
      <c r="B169" s="89"/>
      <c r="C169" s="15"/>
      <c r="D169" s="213" t="s">
        <v>222</v>
      </c>
      <c r="E169" s="214" t="s">
        <v>223</v>
      </c>
      <c r="F169" s="74" t="s">
        <v>224</v>
      </c>
      <c r="G169" s="15"/>
      <c r="H169" s="15"/>
      <c r="I169" s="215" t="s">
        <v>225</v>
      </c>
      <c r="J169" s="15"/>
      <c r="K169" s="15"/>
      <c r="L169" s="15"/>
      <c r="M169" s="14"/>
      <c r="N169" s="14"/>
      <c r="AG169" s="212" t="s">
        <v>221</v>
      </c>
      <c r="AH169" s="89"/>
      <c r="AI169" s="15"/>
      <c r="AJ169" s="213" t="s">
        <v>222</v>
      </c>
      <c r="AK169" s="214" t="s">
        <v>223</v>
      </c>
      <c r="AL169" s="74" t="s">
        <v>224</v>
      </c>
      <c r="AM169" s="15"/>
      <c r="AN169" s="15"/>
      <c r="AO169" s="215" t="s">
        <v>225</v>
      </c>
      <c r="AP169" s="15"/>
      <c r="AQ169" s="15"/>
      <c r="AR169" s="15"/>
      <c r="AS169" s="14"/>
    </row>
    <row r="170" spans="1:45" x14ac:dyDescent="0.25">
      <c r="A170" s="216"/>
      <c r="B170" s="217" t="s">
        <v>226</v>
      </c>
      <c r="C170" s="217"/>
      <c r="D170" s="105">
        <v>2</v>
      </c>
      <c r="E170" s="105">
        <v>17.5</v>
      </c>
      <c r="F170" s="307">
        <f>0.17</f>
        <v>0.17</v>
      </c>
      <c r="G170" s="319"/>
      <c r="H170" s="15"/>
      <c r="I170" s="219">
        <f>D170*E170*F170</f>
        <v>5.95</v>
      </c>
      <c r="J170" s="220"/>
      <c r="K170" s="15"/>
      <c r="L170" s="15"/>
      <c r="M170" s="14"/>
      <c r="N170" s="14"/>
      <c r="AG170" s="216"/>
      <c r="AH170" s="217" t="str">
        <f t="shared" ref="AH170:AH175" si="52">B170</f>
        <v>Dewormer (name product) - ewes</v>
      </c>
      <c r="AI170" s="217">
        <f t="shared" ref="AI170:AI175" si="53">C170</f>
        <v>0</v>
      </c>
      <c r="AJ170" s="105">
        <f t="shared" ref="AJ170:AJ175" si="54">D170</f>
        <v>2</v>
      </c>
      <c r="AK170" s="105">
        <f t="shared" ref="AK170:AK175" si="55">E170</f>
        <v>17.5</v>
      </c>
      <c r="AL170" s="218">
        <f t="shared" ref="AL170:AL175" si="56">F170</f>
        <v>0.17</v>
      </c>
      <c r="AM170" s="89"/>
      <c r="AN170" s="15"/>
      <c r="AO170" s="219">
        <f>AJ170*AK170*AL170</f>
        <v>5.95</v>
      </c>
      <c r="AP170" s="220"/>
      <c r="AQ170" s="15"/>
      <c r="AR170" s="15"/>
      <c r="AS170" s="14"/>
    </row>
    <row r="171" spans="1:45" x14ac:dyDescent="0.25">
      <c r="A171" s="216"/>
      <c r="B171" s="217" t="s">
        <v>227</v>
      </c>
      <c r="C171" s="217"/>
      <c r="D171" s="105">
        <v>1</v>
      </c>
      <c r="E171" s="105">
        <v>25</v>
      </c>
      <c r="F171" s="307">
        <f>F170</f>
        <v>0.17</v>
      </c>
      <c r="G171" s="25">
        <v>0.8</v>
      </c>
      <c r="H171" s="15" t="s">
        <v>228</v>
      </c>
      <c r="I171" s="221">
        <f>D171*E171*F171*G171</f>
        <v>3.4000000000000004</v>
      </c>
      <c r="J171" s="222"/>
      <c r="K171" s="15"/>
      <c r="L171" s="15"/>
      <c r="M171" s="14"/>
      <c r="N171" s="14"/>
      <c r="AG171" s="216"/>
      <c r="AH171" s="217" t="str">
        <f t="shared" si="52"/>
        <v>Dewormer (name product) - rams</v>
      </c>
      <c r="AI171" s="217">
        <f t="shared" si="53"/>
        <v>0</v>
      </c>
      <c r="AJ171" s="105">
        <f t="shared" si="54"/>
        <v>1</v>
      </c>
      <c r="AK171" s="105">
        <f t="shared" si="55"/>
        <v>25</v>
      </c>
      <c r="AL171" s="218">
        <f t="shared" si="56"/>
        <v>0.17</v>
      </c>
      <c r="AM171" s="25">
        <f>G171</f>
        <v>0.8</v>
      </c>
      <c r="AN171" s="15" t="s">
        <v>228</v>
      </c>
      <c r="AO171" s="221">
        <f>AJ171*AK171*AL171*AM171</f>
        <v>3.4000000000000004</v>
      </c>
      <c r="AP171" s="222"/>
      <c r="AQ171" s="15"/>
      <c r="AR171" s="15"/>
      <c r="AS171" s="14"/>
    </row>
    <row r="172" spans="1:45" x14ac:dyDescent="0.25">
      <c r="A172" s="216"/>
      <c r="B172" s="217" t="s">
        <v>229</v>
      </c>
      <c r="C172" s="217"/>
      <c r="D172" s="105">
        <v>1</v>
      </c>
      <c r="E172" s="105">
        <v>2</v>
      </c>
      <c r="F172" s="307">
        <v>1.25</v>
      </c>
      <c r="G172" s="319"/>
      <c r="H172" s="15"/>
      <c r="I172" s="219">
        <f>D172*E172*F172</f>
        <v>2.5</v>
      </c>
      <c r="J172" s="71"/>
      <c r="K172" s="15"/>
      <c r="L172" s="15"/>
      <c r="M172" s="14"/>
      <c r="N172" s="14"/>
      <c r="AG172" s="216"/>
      <c r="AH172" s="217" t="str">
        <f t="shared" si="52"/>
        <v>Clostridial Vaccine -ewes</v>
      </c>
      <c r="AI172" s="217">
        <f t="shared" si="53"/>
        <v>0</v>
      </c>
      <c r="AJ172" s="105">
        <f t="shared" si="54"/>
        <v>1</v>
      </c>
      <c r="AK172" s="105">
        <f t="shared" si="55"/>
        <v>2</v>
      </c>
      <c r="AL172" s="218">
        <f t="shared" si="56"/>
        <v>1.25</v>
      </c>
      <c r="AM172" s="89"/>
      <c r="AN172" s="15"/>
      <c r="AO172" s="219">
        <f>AJ172*AK172*AL172</f>
        <v>2.5</v>
      </c>
      <c r="AP172" s="71"/>
      <c r="AQ172" s="15"/>
      <c r="AR172" s="15"/>
      <c r="AS172" s="14"/>
    </row>
    <row r="173" spans="1:45" x14ac:dyDescent="0.25">
      <c r="A173" s="216"/>
      <c r="B173" s="217" t="s">
        <v>230</v>
      </c>
      <c r="C173" s="217"/>
      <c r="D173" s="105">
        <v>1</v>
      </c>
      <c r="E173" s="105">
        <v>2</v>
      </c>
      <c r="F173" s="307">
        <f>F172</f>
        <v>1.25</v>
      </c>
      <c r="G173" s="319"/>
      <c r="H173" s="15"/>
      <c r="I173" s="219">
        <f>D173*E173*F173</f>
        <v>2.5</v>
      </c>
      <c r="J173" s="71"/>
      <c r="K173" s="15"/>
      <c r="L173" s="15"/>
      <c r="M173" s="14"/>
      <c r="N173" s="14"/>
      <c r="AG173" s="216"/>
      <c r="AH173" s="217" t="str">
        <f t="shared" si="52"/>
        <v>Clostridial Vaccine - rams</v>
      </c>
      <c r="AI173" s="217">
        <f t="shared" si="53"/>
        <v>0</v>
      </c>
      <c r="AJ173" s="105">
        <f t="shared" si="54"/>
        <v>1</v>
      </c>
      <c r="AK173" s="105">
        <f t="shared" si="55"/>
        <v>2</v>
      </c>
      <c r="AL173" s="218">
        <f t="shared" si="56"/>
        <v>1.25</v>
      </c>
      <c r="AM173" s="89"/>
      <c r="AN173" s="15"/>
      <c r="AO173" s="219">
        <f>AJ173*AK173*AL173</f>
        <v>2.5</v>
      </c>
      <c r="AP173" s="71"/>
      <c r="AQ173" s="15"/>
      <c r="AR173" s="15"/>
      <c r="AS173" s="14"/>
    </row>
    <row r="174" spans="1:45" x14ac:dyDescent="0.25">
      <c r="A174" s="216"/>
      <c r="B174" s="217" t="s">
        <v>231</v>
      </c>
      <c r="C174" s="217"/>
      <c r="D174" s="105">
        <v>0</v>
      </c>
      <c r="E174" s="105">
        <v>0</v>
      </c>
      <c r="F174" s="218">
        <v>0</v>
      </c>
      <c r="G174" s="319"/>
      <c r="H174" s="15"/>
      <c r="I174" s="219">
        <f>D174*E174*F174</f>
        <v>0</v>
      </c>
      <c r="J174" s="71"/>
      <c r="K174" s="15"/>
      <c r="L174" s="15"/>
      <c r="M174" s="14"/>
      <c r="N174" s="14"/>
      <c r="AG174" s="216"/>
      <c r="AH174" s="217" t="str">
        <f t="shared" si="52"/>
        <v>Other (ewes)</v>
      </c>
      <c r="AI174" s="217">
        <f t="shared" si="53"/>
        <v>0</v>
      </c>
      <c r="AJ174" s="105">
        <f t="shared" si="54"/>
        <v>0</v>
      </c>
      <c r="AK174" s="105">
        <f t="shared" si="55"/>
        <v>0</v>
      </c>
      <c r="AL174" s="218">
        <f t="shared" si="56"/>
        <v>0</v>
      </c>
      <c r="AM174" s="89"/>
      <c r="AN174" s="15"/>
      <c r="AO174" s="219">
        <f>AJ174*AK174*AL174</f>
        <v>0</v>
      </c>
      <c r="AP174" s="71"/>
      <c r="AQ174" s="15"/>
      <c r="AR174" s="15"/>
      <c r="AS174" s="14"/>
    </row>
    <row r="175" spans="1:45" x14ac:dyDescent="0.25">
      <c r="A175" s="216"/>
      <c r="B175" s="217" t="s">
        <v>232</v>
      </c>
      <c r="C175" s="217"/>
      <c r="D175" s="105">
        <v>0</v>
      </c>
      <c r="E175" s="105">
        <v>0</v>
      </c>
      <c r="F175" s="218">
        <v>0</v>
      </c>
      <c r="G175" s="319"/>
      <c r="H175" s="15"/>
      <c r="I175" s="219">
        <f>D175*E175*F175</f>
        <v>0</v>
      </c>
      <c r="J175" s="15"/>
      <c r="K175" s="15"/>
      <c r="L175" s="15"/>
      <c r="M175" s="14"/>
      <c r="N175" s="14"/>
      <c r="AG175" s="216"/>
      <c r="AH175" s="217" t="str">
        <f t="shared" si="52"/>
        <v>Other (rams)</v>
      </c>
      <c r="AI175" s="217">
        <f t="shared" si="53"/>
        <v>0</v>
      </c>
      <c r="AJ175" s="105">
        <f t="shared" si="54"/>
        <v>0</v>
      </c>
      <c r="AK175" s="105">
        <f t="shared" si="55"/>
        <v>0</v>
      </c>
      <c r="AL175" s="218">
        <f t="shared" si="56"/>
        <v>0</v>
      </c>
      <c r="AM175" s="89"/>
      <c r="AN175" s="15"/>
      <c r="AO175" s="219">
        <f>AJ175*AK175*AL175</f>
        <v>0</v>
      </c>
      <c r="AP175" s="15"/>
      <c r="AQ175" s="15"/>
      <c r="AR175" s="15"/>
      <c r="AS175" s="14"/>
    </row>
    <row r="176" spans="1:45" x14ac:dyDescent="0.25">
      <c r="A176" s="223"/>
      <c r="B176" s="224"/>
      <c r="C176" s="15"/>
      <c r="D176" s="225"/>
      <c r="E176" s="15"/>
      <c r="F176" s="15"/>
      <c r="G176" s="15"/>
      <c r="H176" s="15" t="s">
        <v>219</v>
      </c>
      <c r="I176" s="226">
        <f>SUM(I170,I172,I174)</f>
        <v>8.4499999999999993</v>
      </c>
      <c r="J176" s="15"/>
      <c r="K176" s="15"/>
      <c r="L176" s="15"/>
      <c r="M176" s="14"/>
      <c r="N176" s="14"/>
      <c r="AG176" s="223"/>
      <c r="AH176" s="224"/>
      <c r="AI176" s="15"/>
      <c r="AJ176" s="225"/>
      <c r="AK176" s="15"/>
      <c r="AL176" s="15"/>
      <c r="AM176" s="15"/>
      <c r="AN176" s="15" t="s">
        <v>219</v>
      </c>
      <c r="AO176" s="226">
        <f>SUM(AO170,AO172,AO174)</f>
        <v>8.4499999999999993</v>
      </c>
      <c r="AP176" s="15"/>
      <c r="AQ176" s="15"/>
      <c r="AR176" s="15"/>
      <c r="AS176" s="14"/>
    </row>
    <row r="177" spans="1:45" x14ac:dyDescent="0.25">
      <c r="A177" s="223"/>
      <c r="B177" s="224"/>
      <c r="C177" s="15"/>
      <c r="D177" s="225"/>
      <c r="E177" s="15"/>
      <c r="F177" s="15"/>
      <c r="G177" s="15"/>
      <c r="H177" s="15" t="s">
        <v>220</v>
      </c>
      <c r="I177" s="226">
        <f>SUM(I171,I173,I175)</f>
        <v>5.9</v>
      </c>
      <c r="J177" s="15"/>
      <c r="K177" s="15"/>
      <c r="L177" s="15"/>
      <c r="M177" s="14"/>
      <c r="N177" s="14"/>
      <c r="AG177" s="223"/>
      <c r="AH177" s="224"/>
      <c r="AI177" s="15"/>
      <c r="AJ177" s="225"/>
      <c r="AK177" s="15"/>
      <c r="AL177" s="15"/>
      <c r="AM177" s="15"/>
      <c r="AN177" s="15" t="s">
        <v>220</v>
      </c>
      <c r="AO177" s="226">
        <f>SUM(AO171,AO173,AO175)</f>
        <v>5.9</v>
      </c>
      <c r="AP177" s="15"/>
      <c r="AQ177" s="15"/>
      <c r="AR177" s="15"/>
      <c r="AS177" s="14"/>
    </row>
    <row r="178" spans="1:45" x14ac:dyDescent="0.25">
      <c r="A178" s="227" t="s">
        <v>233</v>
      </c>
      <c r="B178" s="15"/>
      <c r="C178" s="15"/>
      <c r="D178" s="225"/>
      <c r="E178" s="15"/>
      <c r="F178" s="15"/>
      <c r="G178" s="15"/>
      <c r="H178" s="15"/>
      <c r="I178" s="226">
        <f>(I176*F167)+(I177*F168)</f>
        <v>7046.9999999999991</v>
      </c>
      <c r="J178" s="220"/>
      <c r="K178" s="15"/>
      <c r="L178" s="15"/>
      <c r="M178" s="14"/>
      <c r="N178" s="14"/>
      <c r="AG178" s="227" t="s">
        <v>233</v>
      </c>
      <c r="AH178" s="15"/>
      <c r="AI178" s="15"/>
      <c r="AJ178" s="225"/>
      <c r="AK178" s="15"/>
      <c r="AL178" s="15"/>
      <c r="AM178" s="15"/>
      <c r="AN178" s="15"/>
      <c r="AO178" s="226">
        <f>(AO176*AL167)+(AO177*AL168)</f>
        <v>7046.9999999999991</v>
      </c>
      <c r="AP178" s="220"/>
      <c r="AQ178" s="15"/>
      <c r="AR178" s="15"/>
      <c r="AS178" s="14"/>
    </row>
    <row r="179" spans="1:45" ht="15" x14ac:dyDescent="0.2">
      <c r="A179" s="77"/>
      <c r="B179" s="15"/>
      <c r="C179" s="15"/>
      <c r="D179" s="15"/>
      <c r="E179" s="15"/>
      <c r="F179" s="15"/>
      <c r="G179" s="15"/>
      <c r="H179" s="15"/>
      <c r="I179" s="78"/>
      <c r="J179" s="15"/>
      <c r="K179" s="15"/>
      <c r="L179" s="15"/>
      <c r="M179" s="14"/>
      <c r="N179" s="14"/>
      <c r="AG179" s="77"/>
      <c r="AH179" s="15"/>
      <c r="AI179" s="15"/>
      <c r="AJ179" s="15"/>
      <c r="AK179" s="15"/>
      <c r="AL179" s="15"/>
      <c r="AM179" s="15"/>
      <c r="AN179" s="15"/>
      <c r="AO179" s="78"/>
      <c r="AP179" s="15"/>
      <c r="AQ179" s="15"/>
      <c r="AR179" s="15"/>
      <c r="AS179" s="14"/>
    </row>
    <row r="180" spans="1:45" ht="15" x14ac:dyDescent="0.2">
      <c r="A180" s="77"/>
      <c r="B180" s="15"/>
      <c r="C180" s="15"/>
      <c r="D180" s="15"/>
      <c r="E180" s="15"/>
      <c r="F180" s="15"/>
      <c r="G180" s="15"/>
      <c r="H180" s="15"/>
      <c r="I180" s="78"/>
      <c r="J180" s="15"/>
      <c r="K180" s="15"/>
      <c r="L180" s="15"/>
      <c r="M180" s="14"/>
      <c r="N180" s="14"/>
      <c r="AG180" s="77"/>
      <c r="AH180" s="15"/>
      <c r="AI180" s="15"/>
      <c r="AJ180" s="15"/>
      <c r="AK180" s="15"/>
      <c r="AL180" s="15"/>
      <c r="AM180" s="15"/>
      <c r="AN180" s="15"/>
      <c r="AO180" s="78"/>
      <c r="AP180" s="15"/>
      <c r="AQ180" s="15"/>
      <c r="AR180" s="15"/>
      <c r="AS180" s="14"/>
    </row>
    <row r="181" spans="1:45" x14ac:dyDescent="0.25">
      <c r="A181" s="212" t="s">
        <v>234</v>
      </c>
      <c r="B181" s="89"/>
      <c r="C181" s="15"/>
      <c r="D181" s="225"/>
      <c r="E181" s="15"/>
      <c r="F181" s="40">
        <f>H11*D13</f>
        <v>1459.2</v>
      </c>
      <c r="G181" s="15" t="s">
        <v>234</v>
      </c>
      <c r="H181" s="15"/>
      <c r="I181" s="78"/>
      <c r="J181" s="15"/>
      <c r="K181" s="15"/>
      <c r="L181" s="15"/>
      <c r="M181" s="14"/>
      <c r="N181" s="14"/>
      <c r="AG181" s="212" t="s">
        <v>234</v>
      </c>
      <c r="AH181" s="89"/>
      <c r="AI181" s="15"/>
      <c r="AJ181" s="225"/>
      <c r="AK181" s="15"/>
      <c r="AL181" s="40">
        <f>AN11*AJ13</f>
        <v>1459.2</v>
      </c>
      <c r="AM181" s="15" t="s">
        <v>234</v>
      </c>
      <c r="AN181" s="15"/>
      <c r="AO181" s="78"/>
      <c r="AP181" s="15"/>
      <c r="AQ181" s="15"/>
      <c r="AR181" s="15"/>
      <c r="AS181" s="14"/>
    </row>
    <row r="182" spans="1:45" ht="63" x14ac:dyDescent="0.25">
      <c r="A182" s="212"/>
      <c r="B182" s="89"/>
      <c r="C182" s="15"/>
      <c r="D182" s="213" t="s">
        <v>222</v>
      </c>
      <c r="E182" s="214" t="s">
        <v>223</v>
      </c>
      <c r="F182" s="74" t="s">
        <v>224</v>
      </c>
      <c r="G182" s="15"/>
      <c r="H182" s="15"/>
      <c r="I182" s="78"/>
      <c r="J182" s="15"/>
      <c r="K182" s="15"/>
      <c r="L182" s="15"/>
      <c r="M182" s="14"/>
      <c r="N182" s="14"/>
      <c r="AG182" s="212"/>
      <c r="AH182" s="89"/>
      <c r="AI182" s="15"/>
      <c r="AJ182" s="213" t="s">
        <v>222</v>
      </c>
      <c r="AK182" s="214" t="s">
        <v>223</v>
      </c>
      <c r="AL182" s="74" t="s">
        <v>224</v>
      </c>
      <c r="AM182" s="15"/>
      <c r="AN182" s="15"/>
      <c r="AO182" s="78"/>
      <c r="AP182" s="15"/>
      <c r="AQ182" s="15"/>
      <c r="AR182" s="15"/>
      <c r="AS182" s="14"/>
    </row>
    <row r="183" spans="1:45" x14ac:dyDescent="0.25">
      <c r="A183" s="216"/>
      <c r="B183" s="217" t="s">
        <v>235</v>
      </c>
      <c r="C183" s="217"/>
      <c r="D183" s="105">
        <v>1</v>
      </c>
      <c r="E183" s="105">
        <v>1</v>
      </c>
      <c r="F183" s="307">
        <v>0.65</v>
      </c>
      <c r="G183" s="89"/>
      <c r="H183" s="15"/>
      <c r="I183" s="219">
        <f>D183*E183*F183</f>
        <v>0.65</v>
      </c>
      <c r="J183" s="15"/>
      <c r="K183" s="15"/>
      <c r="L183" s="15"/>
      <c r="M183" s="14"/>
      <c r="N183" s="14"/>
      <c r="AG183" s="216"/>
      <c r="AH183" s="217" t="str">
        <f t="shared" ref="AH183:AL187" si="57">B183</f>
        <v>Selenium injection</v>
      </c>
      <c r="AI183" s="217">
        <f t="shared" si="57"/>
        <v>0</v>
      </c>
      <c r="AJ183" s="105">
        <f t="shared" si="57"/>
        <v>1</v>
      </c>
      <c r="AK183" s="105">
        <f t="shared" si="57"/>
        <v>1</v>
      </c>
      <c r="AL183" s="218">
        <f t="shared" si="57"/>
        <v>0.65</v>
      </c>
      <c r="AM183" s="89"/>
      <c r="AN183" s="15"/>
      <c r="AO183" s="219">
        <f>AJ183*AK183*AL183</f>
        <v>0.65</v>
      </c>
      <c r="AP183" s="15"/>
      <c r="AQ183" s="15"/>
      <c r="AR183" s="15"/>
      <c r="AS183" s="14"/>
    </row>
    <row r="184" spans="1:45" x14ac:dyDescent="0.25">
      <c r="A184" s="216"/>
      <c r="B184" s="217" t="s">
        <v>236</v>
      </c>
      <c r="C184" s="217"/>
      <c r="D184" s="105">
        <v>1</v>
      </c>
      <c r="E184" s="105">
        <v>7.5</v>
      </c>
      <c r="F184" s="307">
        <f>0.17</f>
        <v>0.17</v>
      </c>
      <c r="G184" s="89"/>
      <c r="H184" s="15"/>
      <c r="I184" s="219">
        <f>D184*E184*F184</f>
        <v>1.2750000000000001</v>
      </c>
      <c r="J184" s="15"/>
      <c r="K184" s="15"/>
      <c r="L184" s="15"/>
      <c r="M184" s="14"/>
      <c r="N184" s="14"/>
      <c r="AG184" s="216"/>
      <c r="AH184" s="217" t="str">
        <f t="shared" si="57"/>
        <v>Dewormer</v>
      </c>
      <c r="AI184" s="217">
        <f t="shared" si="57"/>
        <v>0</v>
      </c>
      <c r="AJ184" s="105">
        <f t="shared" si="57"/>
        <v>1</v>
      </c>
      <c r="AK184" s="105">
        <f t="shared" si="57"/>
        <v>7.5</v>
      </c>
      <c r="AL184" s="218">
        <f t="shared" si="57"/>
        <v>0.17</v>
      </c>
      <c r="AM184" s="89"/>
      <c r="AN184" s="15"/>
      <c r="AO184" s="219">
        <f>AJ184*AK184*AL184</f>
        <v>1.2750000000000001</v>
      </c>
      <c r="AP184" s="15"/>
      <c r="AQ184" s="15"/>
      <c r="AR184" s="15"/>
      <c r="AS184" s="14"/>
    </row>
    <row r="185" spans="1:45" x14ac:dyDescent="0.25">
      <c r="A185" s="216"/>
      <c r="B185" s="217" t="s">
        <v>237</v>
      </c>
      <c r="C185" s="217"/>
      <c r="D185" s="105">
        <v>1</v>
      </c>
      <c r="E185" s="105">
        <v>4</v>
      </c>
      <c r="F185" s="307">
        <f>1.25</f>
        <v>1.25</v>
      </c>
      <c r="G185" s="89"/>
      <c r="H185" s="15"/>
      <c r="I185" s="219">
        <f>D185*E185*F185</f>
        <v>5</v>
      </c>
      <c r="J185" s="15"/>
      <c r="K185" s="15"/>
      <c r="L185" s="15"/>
      <c r="M185" s="14"/>
      <c r="N185" s="14"/>
      <c r="AG185" s="216"/>
      <c r="AH185" s="217" t="str">
        <f t="shared" si="57"/>
        <v>Clostridial Vaccine (4ml)</v>
      </c>
      <c r="AI185" s="217">
        <f t="shared" si="57"/>
        <v>0</v>
      </c>
      <c r="AJ185" s="105">
        <f t="shared" si="57"/>
        <v>1</v>
      </c>
      <c r="AK185" s="105">
        <f t="shared" si="57"/>
        <v>4</v>
      </c>
      <c r="AL185" s="218">
        <f t="shared" si="57"/>
        <v>1.25</v>
      </c>
      <c r="AM185" s="89"/>
      <c r="AN185" s="15"/>
      <c r="AO185" s="219">
        <f>AJ185*AK185*AL185</f>
        <v>5</v>
      </c>
      <c r="AP185" s="15"/>
      <c r="AQ185" s="15"/>
      <c r="AR185" s="15"/>
      <c r="AS185" s="14"/>
    </row>
    <row r="186" spans="1:45" x14ac:dyDescent="0.25">
      <c r="A186" s="216"/>
      <c r="B186" s="217" t="s">
        <v>217</v>
      </c>
      <c r="C186" s="217"/>
      <c r="D186" s="105">
        <v>0</v>
      </c>
      <c r="E186" s="105">
        <v>0</v>
      </c>
      <c r="F186" s="218">
        <v>0</v>
      </c>
      <c r="G186" s="89"/>
      <c r="H186" s="15"/>
      <c r="I186" s="219">
        <f>D186*E186*F186</f>
        <v>0</v>
      </c>
      <c r="J186" s="15"/>
      <c r="K186" s="15"/>
      <c r="L186" s="15"/>
      <c r="M186" s="14"/>
      <c r="N186" s="14"/>
      <c r="AG186" s="216"/>
      <c r="AH186" s="217" t="str">
        <f t="shared" si="57"/>
        <v>Other</v>
      </c>
      <c r="AI186" s="217">
        <f t="shared" si="57"/>
        <v>0</v>
      </c>
      <c r="AJ186" s="105">
        <f t="shared" si="57"/>
        <v>0</v>
      </c>
      <c r="AK186" s="105">
        <f t="shared" si="57"/>
        <v>0</v>
      </c>
      <c r="AL186" s="218">
        <f t="shared" si="57"/>
        <v>0</v>
      </c>
      <c r="AM186" s="89"/>
      <c r="AN186" s="15"/>
      <c r="AO186" s="219">
        <f>AJ186*AK186*AL186</f>
        <v>0</v>
      </c>
      <c r="AP186" s="15"/>
      <c r="AQ186" s="15"/>
      <c r="AR186" s="15"/>
      <c r="AS186" s="14"/>
    </row>
    <row r="187" spans="1:45" x14ac:dyDescent="0.25">
      <c r="A187" s="216"/>
      <c r="B187" s="217" t="s">
        <v>217</v>
      </c>
      <c r="C187" s="217"/>
      <c r="D187" s="105">
        <v>0</v>
      </c>
      <c r="E187" s="105">
        <v>0</v>
      </c>
      <c r="F187" s="218">
        <v>0</v>
      </c>
      <c r="G187" s="89"/>
      <c r="H187" s="15"/>
      <c r="I187" s="219">
        <f>D187*E187*F187</f>
        <v>0</v>
      </c>
      <c r="J187" s="15"/>
      <c r="K187" s="15"/>
      <c r="L187" s="15"/>
      <c r="M187" s="14"/>
      <c r="N187" s="14"/>
      <c r="AG187" s="216"/>
      <c r="AH187" s="217" t="str">
        <f t="shared" si="57"/>
        <v>Other</v>
      </c>
      <c r="AI187" s="217">
        <f t="shared" si="57"/>
        <v>0</v>
      </c>
      <c r="AJ187" s="105">
        <f t="shared" si="57"/>
        <v>0</v>
      </c>
      <c r="AK187" s="105">
        <f t="shared" si="57"/>
        <v>0</v>
      </c>
      <c r="AL187" s="218">
        <f t="shared" si="57"/>
        <v>0</v>
      </c>
      <c r="AM187" s="89"/>
      <c r="AN187" s="15"/>
      <c r="AO187" s="219">
        <f>AJ187*AK187*AL187</f>
        <v>0</v>
      </c>
      <c r="AP187" s="15"/>
      <c r="AQ187" s="15"/>
      <c r="AR187" s="15"/>
      <c r="AS187" s="14"/>
    </row>
    <row r="188" spans="1:45" x14ac:dyDescent="0.25">
      <c r="A188" s="15"/>
      <c r="B188" s="15"/>
      <c r="C188" s="15"/>
      <c r="D188" s="225"/>
      <c r="E188" s="15"/>
      <c r="F188" s="15"/>
      <c r="G188" s="15"/>
      <c r="H188" s="15"/>
      <c r="I188" s="226">
        <f>SUM(I183:I187)</f>
        <v>6.9250000000000007</v>
      </c>
      <c r="J188" s="15"/>
      <c r="K188" s="15"/>
      <c r="L188" s="15"/>
      <c r="M188" s="14"/>
      <c r="N188" s="14"/>
      <c r="AG188" s="15"/>
      <c r="AH188" s="15"/>
      <c r="AI188" s="15"/>
      <c r="AJ188" s="225"/>
      <c r="AK188" s="15"/>
      <c r="AL188" s="15"/>
      <c r="AM188" s="15"/>
      <c r="AN188" s="15"/>
      <c r="AO188" s="226">
        <f>SUM(AO183:AO187)</f>
        <v>6.9250000000000007</v>
      </c>
      <c r="AP188" s="15"/>
      <c r="AQ188" s="15"/>
      <c r="AR188" s="15"/>
      <c r="AS188" s="14"/>
    </row>
    <row r="189" spans="1:45" x14ac:dyDescent="0.25">
      <c r="A189" s="227" t="s">
        <v>238</v>
      </c>
      <c r="B189" s="89"/>
      <c r="C189" s="15"/>
      <c r="D189" s="225"/>
      <c r="E189" s="15"/>
      <c r="F189" s="15"/>
      <c r="G189" s="15"/>
      <c r="H189" s="15"/>
      <c r="I189" s="228">
        <f>I188*F181</f>
        <v>10104.960000000001</v>
      </c>
      <c r="J189" s="15"/>
      <c r="K189" s="15"/>
      <c r="L189" s="15"/>
      <c r="M189" s="14"/>
      <c r="N189" s="14"/>
      <c r="AG189" s="227" t="s">
        <v>238</v>
      </c>
      <c r="AH189" s="89"/>
      <c r="AI189" s="15"/>
      <c r="AJ189" s="225"/>
      <c r="AK189" s="15"/>
      <c r="AL189" s="15"/>
      <c r="AM189" s="15"/>
      <c r="AN189" s="15"/>
      <c r="AO189" s="228">
        <f>AO188*AL181</f>
        <v>10104.960000000001</v>
      </c>
      <c r="AP189" s="15"/>
      <c r="AQ189" s="15"/>
      <c r="AR189" s="15"/>
      <c r="AS189" s="14"/>
    </row>
    <row r="190" spans="1:45" ht="15" x14ac:dyDescent="0.2">
      <c r="A190" s="77"/>
      <c r="B190" s="15"/>
      <c r="C190" s="15"/>
      <c r="D190" s="229"/>
      <c r="E190" s="15"/>
      <c r="F190" s="224"/>
      <c r="G190" s="15"/>
      <c r="H190" s="15"/>
      <c r="I190" s="78"/>
      <c r="J190" s="15"/>
      <c r="K190" s="15"/>
      <c r="L190" s="15"/>
      <c r="M190" s="14"/>
      <c r="N190" s="14"/>
      <c r="AG190" s="77"/>
      <c r="AH190" s="15"/>
      <c r="AI190" s="15"/>
      <c r="AJ190" s="229"/>
      <c r="AK190" s="15"/>
      <c r="AL190" s="224"/>
      <c r="AM190" s="15"/>
      <c r="AN190" s="15"/>
      <c r="AO190" s="78"/>
      <c r="AP190" s="15"/>
      <c r="AQ190" s="15"/>
      <c r="AR190" s="15"/>
      <c r="AS190" s="14"/>
    </row>
    <row r="191" spans="1:45" x14ac:dyDescent="0.25">
      <c r="A191" s="212" t="s">
        <v>239</v>
      </c>
      <c r="B191" s="89"/>
      <c r="C191" s="15"/>
      <c r="D191" s="225"/>
      <c r="E191" s="15"/>
      <c r="F191" s="40">
        <f>L129+M129</f>
        <v>184</v>
      </c>
      <c r="G191" s="15" t="s">
        <v>99</v>
      </c>
      <c r="H191" s="15"/>
      <c r="I191" s="78"/>
      <c r="J191" s="15"/>
      <c r="K191" s="15"/>
      <c r="L191" s="15"/>
      <c r="M191" s="14"/>
      <c r="N191" s="14"/>
      <c r="AG191" s="212" t="s">
        <v>239</v>
      </c>
      <c r="AH191" s="89"/>
      <c r="AI191" s="15"/>
      <c r="AJ191" s="225"/>
      <c r="AK191" s="15"/>
      <c r="AL191" s="40">
        <f>AR129+AS129</f>
        <v>184</v>
      </c>
      <c r="AM191" s="15" t="s">
        <v>99</v>
      </c>
      <c r="AN191" s="15"/>
      <c r="AO191" s="78"/>
      <c r="AP191" s="15"/>
      <c r="AQ191" s="15"/>
      <c r="AR191" s="15"/>
      <c r="AS191" s="14"/>
    </row>
    <row r="192" spans="1:45" ht="63" x14ac:dyDescent="0.25">
      <c r="A192" s="212"/>
      <c r="B192" s="89"/>
      <c r="C192" s="15"/>
      <c r="D192" s="213" t="s">
        <v>222</v>
      </c>
      <c r="E192" s="214" t="s">
        <v>223</v>
      </c>
      <c r="F192" s="74" t="s">
        <v>224</v>
      </c>
      <c r="G192" s="15"/>
      <c r="H192" s="15"/>
      <c r="I192" s="78"/>
      <c r="J192" s="15"/>
      <c r="K192" s="15"/>
      <c r="L192" s="15"/>
      <c r="M192" s="14"/>
      <c r="N192" s="14"/>
      <c r="AG192" s="212"/>
      <c r="AH192" s="89"/>
      <c r="AI192" s="15"/>
      <c r="AJ192" s="213" t="s">
        <v>222</v>
      </c>
      <c r="AK192" s="214" t="s">
        <v>223</v>
      </c>
      <c r="AL192" s="74" t="s">
        <v>224</v>
      </c>
      <c r="AM192" s="15"/>
      <c r="AN192" s="15"/>
      <c r="AO192" s="78"/>
      <c r="AP192" s="15"/>
      <c r="AQ192" s="15"/>
      <c r="AR192" s="15"/>
      <c r="AS192" s="14"/>
    </row>
    <row r="193" spans="1:45" x14ac:dyDescent="0.25">
      <c r="A193" s="216"/>
      <c r="B193" s="217" t="s">
        <v>236</v>
      </c>
      <c r="C193" s="217"/>
      <c r="D193" s="105">
        <v>1</v>
      </c>
      <c r="E193" s="105">
        <v>7.5</v>
      </c>
      <c r="F193" s="307">
        <f>F184</f>
        <v>0.17</v>
      </c>
      <c r="G193" s="89"/>
      <c r="H193" s="15"/>
      <c r="I193" s="219">
        <f>D193*F193*E193</f>
        <v>1.2750000000000001</v>
      </c>
      <c r="J193" s="15"/>
      <c r="K193" s="15"/>
      <c r="L193" s="15"/>
      <c r="M193" s="14"/>
      <c r="N193" s="14"/>
      <c r="AG193" s="216"/>
      <c r="AH193" s="217" t="str">
        <f t="shared" ref="AH193:AL194" si="58">B193</f>
        <v>Dewormer</v>
      </c>
      <c r="AI193" s="217">
        <f t="shared" si="58"/>
        <v>0</v>
      </c>
      <c r="AJ193" s="105">
        <f t="shared" si="58"/>
        <v>1</v>
      </c>
      <c r="AK193" s="105">
        <f t="shared" si="58"/>
        <v>7.5</v>
      </c>
      <c r="AL193" s="218">
        <f t="shared" si="58"/>
        <v>0.17</v>
      </c>
      <c r="AM193" s="89"/>
      <c r="AN193" s="15"/>
      <c r="AO193" s="219">
        <f>AJ193*AL193*AK193</f>
        <v>1.2750000000000001</v>
      </c>
      <c r="AP193" s="15"/>
      <c r="AQ193" s="15"/>
      <c r="AR193" s="15"/>
      <c r="AS193" s="14"/>
    </row>
    <row r="194" spans="1:45" x14ac:dyDescent="0.25">
      <c r="A194" s="216"/>
      <c r="B194" s="217" t="s">
        <v>240</v>
      </c>
      <c r="C194" s="217"/>
      <c r="D194" s="105">
        <v>2</v>
      </c>
      <c r="E194" s="105">
        <v>3</v>
      </c>
      <c r="F194" s="307">
        <f>F185</f>
        <v>1.25</v>
      </c>
      <c r="G194" s="89"/>
      <c r="H194" s="15"/>
      <c r="I194" s="219">
        <f>D194*F194*E194</f>
        <v>7.5</v>
      </c>
      <c r="J194" s="15"/>
      <c r="K194" s="15"/>
      <c r="L194" s="15"/>
      <c r="M194" s="14"/>
      <c r="N194" s="14"/>
      <c r="AG194" s="216"/>
      <c r="AH194" s="217" t="str">
        <f t="shared" si="58"/>
        <v>Vaccine (booster 2ml)</v>
      </c>
      <c r="AI194" s="217">
        <f t="shared" si="58"/>
        <v>0</v>
      </c>
      <c r="AJ194" s="105">
        <f t="shared" si="58"/>
        <v>2</v>
      </c>
      <c r="AK194" s="105">
        <f t="shared" si="58"/>
        <v>3</v>
      </c>
      <c r="AL194" s="218">
        <f t="shared" si="58"/>
        <v>1.25</v>
      </c>
      <c r="AM194" s="89"/>
      <c r="AN194" s="15"/>
      <c r="AO194" s="219">
        <f>AJ194*AL194*AK194</f>
        <v>7.5</v>
      </c>
      <c r="AP194" s="15"/>
      <c r="AQ194" s="15"/>
      <c r="AR194" s="15"/>
      <c r="AS194" s="14"/>
    </row>
    <row r="195" spans="1:45" x14ac:dyDescent="0.25">
      <c r="A195" s="216"/>
      <c r="B195" s="217" t="s">
        <v>217</v>
      </c>
      <c r="C195" s="217"/>
      <c r="D195" s="105">
        <v>0</v>
      </c>
      <c r="E195" s="105">
        <v>0</v>
      </c>
      <c r="F195" s="218">
        <v>0</v>
      </c>
      <c r="G195" s="89"/>
      <c r="H195" s="15"/>
      <c r="I195" s="219">
        <f>D195*F195*E195</f>
        <v>0</v>
      </c>
      <c r="J195" s="15"/>
      <c r="K195" s="15"/>
      <c r="L195" s="15"/>
      <c r="M195" s="14"/>
      <c r="N195" s="14"/>
      <c r="AG195" s="216"/>
      <c r="AH195" s="217" t="str">
        <f>B195</f>
        <v>Other</v>
      </c>
      <c r="AI195" s="217"/>
      <c r="AJ195" s="105">
        <f>D195</f>
        <v>0</v>
      </c>
      <c r="AK195" s="105">
        <f>E195</f>
        <v>0</v>
      </c>
      <c r="AL195" s="218">
        <f>F195</f>
        <v>0</v>
      </c>
      <c r="AM195" s="89"/>
      <c r="AN195" s="15"/>
      <c r="AO195" s="219">
        <f>AJ195*AL195*AK195</f>
        <v>0</v>
      </c>
      <c r="AP195" s="15"/>
      <c r="AQ195" s="15"/>
      <c r="AR195" s="15"/>
      <c r="AS195" s="14"/>
    </row>
    <row r="196" spans="1:45" x14ac:dyDescent="0.25">
      <c r="A196" s="77"/>
      <c r="B196" s="15"/>
      <c r="C196" s="15"/>
      <c r="D196" s="225"/>
      <c r="E196" s="15"/>
      <c r="F196" s="15"/>
      <c r="G196" s="15"/>
      <c r="H196" s="15"/>
      <c r="I196" s="226">
        <f>SUM(I193:I194)</f>
        <v>8.7750000000000004</v>
      </c>
      <c r="J196" s="15"/>
      <c r="K196" s="15"/>
      <c r="L196" s="15"/>
      <c r="M196" s="14"/>
      <c r="N196" s="14"/>
      <c r="AG196" s="77"/>
      <c r="AH196" s="15"/>
      <c r="AI196" s="15"/>
      <c r="AJ196" s="225"/>
      <c r="AK196" s="15"/>
      <c r="AL196" s="15"/>
      <c r="AM196" s="15"/>
      <c r="AN196" s="15"/>
      <c r="AO196" s="226">
        <f>SUM(AO193:AO194)</f>
        <v>8.7750000000000004</v>
      </c>
      <c r="AP196" s="15"/>
      <c r="AQ196" s="15"/>
      <c r="AR196" s="15"/>
      <c r="AS196" s="14"/>
    </row>
    <row r="197" spans="1:45" x14ac:dyDescent="0.25">
      <c r="A197" s="227" t="s">
        <v>241</v>
      </c>
      <c r="B197" s="15"/>
      <c r="C197" s="15"/>
      <c r="D197" s="225"/>
      <c r="E197" s="15"/>
      <c r="F197" s="15"/>
      <c r="G197" s="15"/>
      <c r="H197" s="15"/>
      <c r="I197" s="228">
        <f>I196*F191</f>
        <v>1614.6000000000001</v>
      </c>
      <c r="J197" s="15"/>
      <c r="K197" s="15"/>
      <c r="L197" s="15"/>
      <c r="M197" s="14"/>
      <c r="N197" s="14"/>
      <c r="AG197" s="227" t="s">
        <v>241</v>
      </c>
      <c r="AH197" s="15"/>
      <c r="AI197" s="15"/>
      <c r="AJ197" s="225"/>
      <c r="AK197" s="15"/>
      <c r="AL197" s="15"/>
      <c r="AM197" s="15"/>
      <c r="AN197" s="15"/>
      <c r="AO197" s="228">
        <f>AO196*AL191</f>
        <v>1614.6000000000001</v>
      </c>
      <c r="AP197" s="15"/>
      <c r="AQ197" s="15"/>
      <c r="AR197" s="15"/>
      <c r="AS197" s="14"/>
    </row>
    <row r="198" spans="1:45" ht="15" x14ac:dyDescent="0.2">
      <c r="A198" s="77"/>
      <c r="B198" s="15"/>
      <c r="C198" s="15"/>
      <c r="D198" s="225"/>
      <c r="E198" s="15"/>
      <c r="F198" s="15"/>
      <c r="G198" s="15"/>
      <c r="H198" s="15"/>
      <c r="I198" s="78"/>
      <c r="J198" s="15"/>
      <c r="K198" s="15"/>
      <c r="L198" s="15"/>
      <c r="M198" s="14"/>
      <c r="N198" s="14"/>
      <c r="AG198" s="77"/>
      <c r="AH198" s="15"/>
      <c r="AI198" s="15"/>
      <c r="AJ198" s="225"/>
      <c r="AK198" s="15"/>
      <c r="AL198" s="15"/>
      <c r="AM198" s="15"/>
      <c r="AN198" s="15"/>
      <c r="AO198" s="78"/>
      <c r="AP198" s="15"/>
      <c r="AQ198" s="15"/>
      <c r="AR198" s="15"/>
      <c r="AS198" s="14"/>
    </row>
    <row r="199" spans="1:45" x14ac:dyDescent="0.25">
      <c r="A199" s="212" t="s">
        <v>242</v>
      </c>
      <c r="B199" s="89"/>
      <c r="C199" s="15"/>
      <c r="D199" s="225"/>
      <c r="E199" s="15"/>
      <c r="F199" s="40">
        <f>D24+D25+D27</f>
        <v>754.19999999999993</v>
      </c>
      <c r="G199" s="15" t="s">
        <v>234</v>
      </c>
      <c r="H199" s="15"/>
      <c r="I199" s="78"/>
      <c r="J199" s="15"/>
      <c r="K199" s="15"/>
      <c r="L199" s="15"/>
      <c r="M199" s="14"/>
      <c r="N199" s="14"/>
      <c r="AG199" s="212" t="s">
        <v>242</v>
      </c>
      <c r="AH199" s="89"/>
      <c r="AI199" s="15"/>
      <c r="AJ199" s="225"/>
      <c r="AK199" s="15"/>
      <c r="AL199" s="40">
        <f>AJ24+AJ25+AJ27</f>
        <v>754.19999999999993</v>
      </c>
      <c r="AM199" s="15" t="s">
        <v>234</v>
      </c>
      <c r="AN199" s="15"/>
      <c r="AO199" s="78"/>
      <c r="AP199" s="15"/>
      <c r="AQ199" s="15"/>
      <c r="AR199" s="15"/>
      <c r="AS199" s="14"/>
    </row>
    <row r="200" spans="1:45" ht="63" x14ac:dyDescent="0.25">
      <c r="A200" s="212"/>
      <c r="B200" s="89"/>
      <c r="C200" s="15"/>
      <c r="D200" s="213" t="s">
        <v>222</v>
      </c>
      <c r="E200" s="214" t="s">
        <v>223</v>
      </c>
      <c r="F200" s="74" t="s">
        <v>224</v>
      </c>
      <c r="G200" s="15"/>
      <c r="H200" s="15"/>
      <c r="I200" s="78"/>
      <c r="J200" s="15"/>
      <c r="K200" s="15"/>
      <c r="L200" s="15"/>
      <c r="M200" s="14"/>
      <c r="N200" s="14"/>
      <c r="AG200" s="212"/>
      <c r="AH200" s="89"/>
      <c r="AI200" s="15"/>
      <c r="AJ200" s="213" t="s">
        <v>222</v>
      </c>
      <c r="AK200" s="214" t="s">
        <v>223</v>
      </c>
      <c r="AL200" s="74" t="s">
        <v>224</v>
      </c>
      <c r="AM200" s="15"/>
      <c r="AN200" s="15"/>
      <c r="AO200" s="78"/>
      <c r="AP200" s="15"/>
      <c r="AQ200" s="15"/>
      <c r="AR200" s="15"/>
      <c r="AS200" s="14"/>
    </row>
    <row r="201" spans="1:45" x14ac:dyDescent="0.25">
      <c r="A201" s="216"/>
      <c r="B201" s="217" t="s">
        <v>236</v>
      </c>
      <c r="C201" s="217"/>
      <c r="D201" s="105">
        <v>1</v>
      </c>
      <c r="E201" s="105">
        <v>7.5</v>
      </c>
      <c r="F201" s="307">
        <v>0.17</v>
      </c>
      <c r="G201" s="89"/>
      <c r="H201" s="15"/>
      <c r="I201" s="219">
        <f>D201*F201*E201</f>
        <v>1.2750000000000001</v>
      </c>
      <c r="J201" s="15"/>
      <c r="K201" s="15"/>
      <c r="L201" s="15"/>
      <c r="M201" s="14"/>
      <c r="N201" s="14"/>
      <c r="AG201" s="216"/>
      <c r="AH201" s="217" t="str">
        <f>B201</f>
        <v>Dewormer</v>
      </c>
      <c r="AI201" s="217"/>
      <c r="AJ201" s="105">
        <f t="shared" ref="AJ201:AL203" si="59">D201</f>
        <v>1</v>
      </c>
      <c r="AK201" s="105">
        <f t="shared" si="59"/>
        <v>7.5</v>
      </c>
      <c r="AL201" s="218">
        <f t="shared" si="59"/>
        <v>0.17</v>
      </c>
      <c r="AM201" s="89"/>
      <c r="AN201" s="15"/>
      <c r="AO201" s="219">
        <f>AJ201*AL201*AK201</f>
        <v>1.2750000000000001</v>
      </c>
      <c r="AP201" s="15"/>
      <c r="AQ201" s="15"/>
      <c r="AR201" s="15"/>
      <c r="AS201" s="14"/>
    </row>
    <row r="202" spans="1:45" x14ac:dyDescent="0.25">
      <c r="A202" s="216"/>
      <c r="B202" s="217" t="s">
        <v>240</v>
      </c>
      <c r="C202" s="217"/>
      <c r="D202" s="105">
        <v>2</v>
      </c>
      <c r="E202" s="105">
        <v>3</v>
      </c>
      <c r="F202" s="307">
        <v>1.25</v>
      </c>
      <c r="G202" s="89"/>
      <c r="H202" s="15"/>
      <c r="I202" s="219">
        <f>D202*F202*E202</f>
        <v>7.5</v>
      </c>
      <c r="J202" s="15"/>
      <c r="K202" s="15"/>
      <c r="L202" s="15"/>
      <c r="M202" s="14"/>
      <c r="N202" s="14"/>
      <c r="AG202" s="216"/>
      <c r="AH202" s="217" t="str">
        <f>B202</f>
        <v>Vaccine (booster 2ml)</v>
      </c>
      <c r="AI202" s="217"/>
      <c r="AJ202" s="105">
        <f t="shared" si="59"/>
        <v>2</v>
      </c>
      <c r="AK202" s="105">
        <f t="shared" si="59"/>
        <v>3</v>
      </c>
      <c r="AL202" s="218">
        <f t="shared" si="59"/>
        <v>1.25</v>
      </c>
      <c r="AM202" s="89"/>
      <c r="AN202" s="15"/>
      <c r="AO202" s="219">
        <f>AJ202*AL202*AK202</f>
        <v>7.5</v>
      </c>
      <c r="AP202" s="15"/>
      <c r="AQ202" s="15"/>
      <c r="AR202" s="15"/>
      <c r="AS202" s="14"/>
    </row>
    <row r="203" spans="1:45" x14ac:dyDescent="0.25">
      <c r="A203" s="216"/>
      <c r="B203" s="217" t="s">
        <v>217</v>
      </c>
      <c r="C203" s="217"/>
      <c r="D203" s="105">
        <v>0</v>
      </c>
      <c r="E203" s="105">
        <v>0</v>
      </c>
      <c r="F203" s="218">
        <v>0</v>
      </c>
      <c r="G203" s="89"/>
      <c r="H203" s="15"/>
      <c r="I203" s="219">
        <f>D203*F203*E203</f>
        <v>0</v>
      </c>
      <c r="J203" s="15"/>
      <c r="K203" s="15"/>
      <c r="L203" s="15"/>
      <c r="M203" s="14"/>
      <c r="N203" s="14"/>
      <c r="AG203" s="216"/>
      <c r="AH203" s="217" t="str">
        <f>B203</f>
        <v>Other</v>
      </c>
      <c r="AI203" s="217"/>
      <c r="AJ203" s="105">
        <f t="shared" si="59"/>
        <v>0</v>
      </c>
      <c r="AK203" s="105">
        <f t="shared" si="59"/>
        <v>0</v>
      </c>
      <c r="AL203" s="218">
        <f t="shared" si="59"/>
        <v>0</v>
      </c>
      <c r="AM203" s="89"/>
      <c r="AN203" s="15"/>
      <c r="AO203" s="219">
        <f>AJ203*AL203*AK203</f>
        <v>0</v>
      </c>
      <c r="AP203" s="15"/>
      <c r="AQ203" s="15"/>
      <c r="AR203" s="15"/>
      <c r="AS203" s="14"/>
    </row>
    <row r="204" spans="1:45" x14ac:dyDescent="0.25">
      <c r="A204" s="77"/>
      <c r="B204" s="15"/>
      <c r="C204" s="15"/>
      <c r="D204" s="15"/>
      <c r="E204" s="15"/>
      <c r="F204" s="15"/>
      <c r="G204" s="15"/>
      <c r="H204" s="15"/>
      <c r="I204" s="226">
        <f>SUM(I201:I203)</f>
        <v>8.7750000000000004</v>
      </c>
      <c r="J204" s="15"/>
      <c r="K204" s="15"/>
      <c r="L204" s="15"/>
      <c r="M204" s="14"/>
      <c r="N204" s="14"/>
      <c r="AG204" s="77"/>
      <c r="AH204" s="15"/>
      <c r="AI204" s="15"/>
      <c r="AJ204" s="15"/>
      <c r="AK204" s="15"/>
      <c r="AL204" s="15"/>
      <c r="AM204" s="15"/>
      <c r="AN204" s="15"/>
      <c r="AO204" s="226">
        <f>SUM(AO201:AO203)</f>
        <v>8.7750000000000004</v>
      </c>
      <c r="AP204" s="15"/>
      <c r="AQ204" s="15"/>
      <c r="AR204" s="15"/>
      <c r="AS204" s="14"/>
    </row>
    <row r="205" spans="1:45" x14ac:dyDescent="0.25">
      <c r="A205" s="227" t="s">
        <v>243</v>
      </c>
      <c r="B205" s="15"/>
      <c r="C205" s="15"/>
      <c r="D205" s="15"/>
      <c r="E205" s="15"/>
      <c r="F205" s="15"/>
      <c r="G205" s="15"/>
      <c r="H205" s="15"/>
      <c r="I205" s="228">
        <f>I204*F199</f>
        <v>6618.1049999999996</v>
      </c>
      <c r="J205" s="15"/>
      <c r="K205" s="15"/>
      <c r="L205" s="15"/>
      <c r="M205" s="14"/>
      <c r="N205" s="14"/>
      <c r="AG205" s="227" t="s">
        <v>243</v>
      </c>
      <c r="AH205" s="15"/>
      <c r="AI205" s="15"/>
      <c r="AJ205" s="15"/>
      <c r="AK205" s="15"/>
      <c r="AL205" s="15"/>
      <c r="AM205" s="15"/>
      <c r="AN205" s="15"/>
      <c r="AO205" s="228">
        <f>AO204*AL199</f>
        <v>6618.1049999999996</v>
      </c>
      <c r="AP205" s="15"/>
      <c r="AQ205" s="15"/>
      <c r="AR205" s="15"/>
      <c r="AS205" s="14"/>
    </row>
    <row r="206" spans="1:45" x14ac:dyDescent="0.25">
      <c r="A206" s="230"/>
      <c r="B206" s="15"/>
      <c r="C206" s="15"/>
      <c r="D206" s="15"/>
      <c r="E206" s="15"/>
      <c r="F206" s="15"/>
      <c r="G206" s="15"/>
      <c r="H206" s="15"/>
      <c r="I206" s="228"/>
      <c r="J206" s="15"/>
      <c r="K206" s="15"/>
      <c r="L206" s="15"/>
      <c r="M206" s="14"/>
      <c r="N206" s="14"/>
      <c r="AG206" s="230"/>
      <c r="AH206" s="15"/>
      <c r="AI206" s="15"/>
      <c r="AJ206" s="15"/>
      <c r="AK206" s="15"/>
      <c r="AL206" s="15"/>
      <c r="AM206" s="15"/>
      <c r="AN206" s="15"/>
      <c r="AO206" s="228"/>
      <c r="AP206" s="15"/>
      <c r="AQ206" s="15"/>
      <c r="AR206" s="15"/>
      <c r="AS206" s="14"/>
    </row>
    <row r="207" spans="1:45" x14ac:dyDescent="0.25">
      <c r="A207" s="230"/>
      <c r="B207" s="15"/>
      <c r="C207" s="15"/>
      <c r="D207" s="15" t="s">
        <v>244</v>
      </c>
      <c r="E207" s="15"/>
      <c r="F207" s="15" t="s">
        <v>245</v>
      </c>
      <c r="G207" s="15"/>
      <c r="H207" s="15"/>
      <c r="I207" s="228"/>
      <c r="J207" s="15"/>
      <c r="K207" s="15"/>
      <c r="L207" s="15"/>
      <c r="M207" s="14"/>
      <c r="N207" s="14"/>
      <c r="AG207" s="230"/>
      <c r="AH207" s="15"/>
      <c r="AI207" s="15"/>
      <c r="AJ207" s="15" t="s">
        <v>244</v>
      </c>
      <c r="AK207" s="15"/>
      <c r="AL207" s="15" t="s">
        <v>245</v>
      </c>
      <c r="AM207" s="15"/>
      <c r="AN207" s="15"/>
      <c r="AO207" s="228"/>
      <c r="AP207" s="15"/>
      <c r="AQ207" s="15"/>
      <c r="AR207" s="15"/>
      <c r="AS207" s="14"/>
    </row>
    <row r="208" spans="1:45" x14ac:dyDescent="0.25">
      <c r="A208" s="230" t="s">
        <v>246</v>
      </c>
      <c r="B208" s="15"/>
      <c r="C208" s="15"/>
      <c r="D208" s="105">
        <v>1</v>
      </c>
      <c r="E208" s="43"/>
      <c r="F208" s="218">
        <v>300</v>
      </c>
      <c r="G208" s="15"/>
      <c r="H208" s="15"/>
      <c r="I208" s="228">
        <f>D208*F208</f>
        <v>300</v>
      </c>
      <c r="J208" s="15"/>
      <c r="K208" s="15"/>
      <c r="L208" s="15"/>
      <c r="M208" s="14"/>
      <c r="N208" s="14"/>
      <c r="AG208" s="230" t="s">
        <v>246</v>
      </c>
      <c r="AH208" s="15"/>
      <c r="AI208" s="15"/>
      <c r="AJ208" s="105">
        <f>D208</f>
        <v>1</v>
      </c>
      <c r="AK208" s="15"/>
      <c r="AL208" s="218">
        <f>F208</f>
        <v>300</v>
      </c>
      <c r="AM208" s="15"/>
      <c r="AN208" s="15"/>
      <c r="AO208" s="228">
        <f>AJ208*AL208</f>
        <v>300</v>
      </c>
      <c r="AP208" s="15"/>
      <c r="AQ208" s="15"/>
      <c r="AR208" s="15"/>
      <c r="AS208" s="14"/>
    </row>
    <row r="209" spans="1:45" ht="15" x14ac:dyDescent="0.2">
      <c r="A209" s="77"/>
      <c r="B209" s="15"/>
      <c r="C209" s="15"/>
      <c r="D209" s="15"/>
      <c r="E209" s="15"/>
      <c r="F209" s="15"/>
      <c r="G209" s="15"/>
      <c r="H209" s="15"/>
      <c r="I209" s="78"/>
      <c r="J209" s="15"/>
      <c r="K209" s="15"/>
      <c r="L209" s="15"/>
      <c r="M209" s="14"/>
      <c r="N209" s="14"/>
      <c r="AG209" s="77"/>
      <c r="AH209" s="15"/>
      <c r="AI209" s="15"/>
      <c r="AJ209" s="15"/>
      <c r="AK209" s="15"/>
      <c r="AL209" s="15"/>
      <c r="AM209" s="15"/>
      <c r="AN209" s="15"/>
      <c r="AO209" s="78"/>
      <c r="AP209" s="15"/>
      <c r="AQ209" s="15"/>
      <c r="AR209" s="15"/>
      <c r="AS209" s="14"/>
    </row>
    <row r="210" spans="1:45" x14ac:dyDescent="0.25">
      <c r="A210" s="231"/>
      <c r="B210" s="232"/>
      <c r="C210" s="232"/>
      <c r="D210" s="233" t="s">
        <v>247</v>
      </c>
      <c r="E210" s="232"/>
      <c r="F210" s="232"/>
      <c r="G210" s="232"/>
      <c r="H210" s="232"/>
      <c r="I210" s="234">
        <f>I178+I189+I197+I205+I208</f>
        <v>25684.664999999997</v>
      </c>
      <c r="J210" s="15"/>
      <c r="K210" s="15"/>
      <c r="L210" s="15"/>
      <c r="M210" s="14"/>
      <c r="N210" s="14"/>
      <c r="AG210" s="231"/>
      <c r="AH210" s="232"/>
      <c r="AI210" s="232"/>
      <c r="AJ210" s="233" t="s">
        <v>247</v>
      </c>
      <c r="AK210" s="232"/>
      <c r="AL210" s="232"/>
      <c r="AM210" s="232"/>
      <c r="AN210" s="232"/>
      <c r="AO210" s="234">
        <f>AO178+AO189+AO197+AO205+AO208</f>
        <v>25684.664999999997</v>
      </c>
      <c r="AP210" s="15"/>
      <c r="AQ210" s="15"/>
      <c r="AR210" s="15"/>
      <c r="AS210" s="14"/>
    </row>
    <row r="211" spans="1:45" x14ac:dyDescent="0.25">
      <c r="A211" s="15" t="s">
        <v>16</v>
      </c>
      <c r="B211" s="15"/>
      <c r="C211" s="15"/>
      <c r="D211" s="18"/>
      <c r="E211" s="15"/>
      <c r="F211" s="15"/>
      <c r="G211" s="15"/>
      <c r="H211" s="15"/>
      <c r="I211" s="15"/>
      <c r="J211" s="15"/>
      <c r="K211" s="15"/>
      <c r="L211" s="15"/>
      <c r="M211" s="14"/>
      <c r="N211" s="14"/>
      <c r="AG211" s="15"/>
      <c r="AH211" s="15"/>
      <c r="AI211" s="15"/>
      <c r="AJ211" s="18"/>
      <c r="AK211" s="15"/>
      <c r="AL211" s="15"/>
      <c r="AM211" s="15"/>
      <c r="AN211" s="15"/>
      <c r="AO211" s="15"/>
      <c r="AP211" s="15"/>
      <c r="AQ211" s="15"/>
      <c r="AR211" s="15"/>
      <c r="AS211" s="14"/>
    </row>
    <row r="212" spans="1:45" x14ac:dyDescent="0.25">
      <c r="A212" s="15"/>
      <c r="B212" s="15"/>
      <c r="C212" s="15"/>
      <c r="D212" s="18"/>
      <c r="E212" s="15"/>
      <c r="F212" s="15"/>
      <c r="G212" s="15"/>
      <c r="H212" s="15"/>
      <c r="I212" s="15"/>
      <c r="J212" s="15"/>
      <c r="K212" s="15"/>
      <c r="L212" s="15"/>
      <c r="M212" s="14"/>
      <c r="N212" s="14"/>
      <c r="AG212" s="15"/>
      <c r="AH212" s="15"/>
      <c r="AI212" s="15"/>
      <c r="AJ212" s="18"/>
      <c r="AK212" s="15"/>
      <c r="AL212" s="15"/>
      <c r="AM212" s="15"/>
      <c r="AN212" s="15"/>
      <c r="AO212" s="15"/>
      <c r="AP212" s="15"/>
      <c r="AQ212" s="15"/>
      <c r="AR212" s="15"/>
      <c r="AS212" s="14"/>
    </row>
    <row r="213" spans="1:45" x14ac:dyDescent="0.25">
      <c r="A213" s="15"/>
      <c r="B213" s="15"/>
      <c r="C213" s="15"/>
      <c r="D213" s="18"/>
      <c r="E213" s="15"/>
      <c r="F213" s="15"/>
      <c r="G213" s="15"/>
      <c r="H213" s="15"/>
      <c r="I213" s="15"/>
      <c r="J213" s="15"/>
      <c r="K213" s="15"/>
      <c r="L213" s="15"/>
      <c r="M213" s="14"/>
      <c r="N213" s="14"/>
      <c r="AG213" s="15"/>
      <c r="AH213" s="15"/>
      <c r="AI213" s="15"/>
      <c r="AJ213" s="18"/>
      <c r="AK213" s="15"/>
      <c r="AL213" s="15"/>
      <c r="AM213" s="15"/>
      <c r="AN213" s="15"/>
      <c r="AO213" s="15"/>
      <c r="AP213" s="15"/>
      <c r="AQ213" s="15"/>
      <c r="AR213" s="15"/>
      <c r="AS213" s="14"/>
    </row>
    <row r="214" spans="1:45" x14ac:dyDescent="0.25">
      <c r="A214" s="15"/>
      <c r="B214" s="15"/>
      <c r="C214" s="15"/>
      <c r="D214" s="18"/>
      <c r="E214" s="15"/>
      <c r="F214" s="15"/>
      <c r="G214" s="15"/>
      <c r="H214" s="15"/>
      <c r="I214" s="15"/>
      <c r="J214" s="15"/>
      <c r="K214" s="15"/>
      <c r="L214" s="15"/>
      <c r="M214" s="14"/>
      <c r="N214" s="14"/>
      <c r="AG214" s="15"/>
      <c r="AH214" s="15"/>
      <c r="AI214" s="15"/>
      <c r="AJ214" s="18"/>
      <c r="AK214" s="15"/>
      <c r="AL214" s="15"/>
      <c r="AM214" s="15"/>
      <c r="AN214" s="15"/>
      <c r="AO214" s="15"/>
      <c r="AP214" s="15"/>
      <c r="AQ214" s="15"/>
      <c r="AR214" s="15"/>
      <c r="AS214" s="14"/>
    </row>
    <row r="215" spans="1:45" x14ac:dyDescent="0.25">
      <c r="A215" s="15"/>
      <c r="B215" s="15"/>
      <c r="C215" s="15"/>
      <c r="D215" s="18"/>
      <c r="E215" s="15"/>
      <c r="F215" s="15"/>
      <c r="G215" s="15"/>
      <c r="H215" s="15"/>
      <c r="I215" s="15"/>
      <c r="J215" s="15"/>
      <c r="K215" s="15"/>
      <c r="L215" s="15"/>
      <c r="M215" s="14"/>
      <c r="N215" s="14"/>
    </row>
    <row r="216" spans="1:45" x14ac:dyDescent="0.25">
      <c r="A216" s="15"/>
      <c r="B216" s="15"/>
      <c r="C216" s="15"/>
      <c r="D216" s="18"/>
      <c r="E216" s="15"/>
      <c r="F216" s="15"/>
      <c r="G216" s="15"/>
      <c r="H216" s="15"/>
      <c r="I216" s="15"/>
      <c r="J216" s="15"/>
      <c r="K216" s="15"/>
      <c r="L216" s="15"/>
      <c r="M216" s="14"/>
      <c r="N216" s="14"/>
    </row>
    <row r="217" spans="1:45" x14ac:dyDescent="0.25">
      <c r="A217" s="15"/>
      <c r="B217" s="15"/>
      <c r="C217" s="15"/>
      <c r="D217" s="18"/>
      <c r="E217" s="15"/>
      <c r="F217" s="15"/>
      <c r="G217" s="15"/>
      <c r="H217" s="15"/>
      <c r="I217" s="15"/>
      <c r="J217" s="15"/>
      <c r="K217" s="15"/>
      <c r="L217" s="15"/>
      <c r="M217" s="14"/>
      <c r="N217" s="14"/>
    </row>
    <row r="218" spans="1:45" x14ac:dyDescent="0.25">
      <c r="N218" s="14"/>
    </row>
  </sheetData>
  <conditionalFormatting sqref="Q12:Q15">
    <cfRule type="cellIs" dxfId="2" priority="1" stopIfTrue="1" operator="lessThan">
      <formula>0</formula>
    </cfRule>
  </conditionalFormatting>
  <conditionalFormatting sqref="N23">
    <cfRule type="cellIs" dxfId="1" priority="2" stopIfTrue="1" operator="lessThan">
      <formula>0</formula>
    </cfRule>
  </conditionalFormatting>
  <conditionalFormatting sqref="N20:N21">
    <cfRule type="cellIs" dxfId="0" priority="3" stopIfTrue="1" operator="lessThan">
      <formula>0</formula>
    </cfRule>
  </conditionalFormatting>
  <dataValidations count="6">
    <dataValidation allowBlank="1" showInputMessage="1" showErrorMessage="1" promptTitle="# Replacement Ewes" prompt="# of replacement ewes kept plus # replacement ewes bought" sqref="AR129" xr:uid="{821877F9-D680-4152-81CA-26EBEF85EC97}"/>
    <dataValidation allowBlank="1" showInputMessage="1" showErrorMessage="1" promptTitle="# Replacement Rams" prompt="# replacement rams kept plus number of replacement rams bought" sqref="AS129" xr:uid="{EC2D4D4E-D6FA-450C-AA6E-2843DDC63853}"/>
    <dataValidation allowBlank="1" showInputMessage="1" showErrorMessage="1" promptTitle="Replacement rams kept" prompt="This is the number of rams born kept to use as rams in the flock" sqref="G9 AM9" xr:uid="{462B894D-1FB6-4A93-8FA3-17C8E3503420}"/>
    <dataValidation allowBlank="1" showInputMessage="1" showErrorMessage="1" promptTitle="Replacement Ewes Needed" prompt="Number of ewe lambs that must be kept to cover the ewe cull rate and death loss so flock size is maintained" sqref="C9 AI9" xr:uid="{54047445-4D4B-4B5A-BD6B-0E6240E8EAA1}"/>
    <dataValidation allowBlank="1" showInputMessage="1" showErrorMessage="1" promptTitle="Replacement Ewes Kept" prompt="The number of ewe lambs born that are raised and kept in flock" sqref="C10 AI10" xr:uid="{21C73715-A76D-4965-91FF-CFEDF351C5B0}"/>
    <dataValidation allowBlank="1" showInputMessage="1" showErrorMessage="1" promptTitle="% Lambs finish on pasture" prompt="% of lambs that are sold to market directly off of pasture with no stored feed fed" sqref="I18 AO18" xr:uid="{078F9566-20AC-40B2-94AA-CF28006E2317}"/>
  </dataValidations>
  <pageMargins left="0.2" right="0.25" top="0.5" bottom="0.84" header="0.25" footer="0.25"/>
  <pageSetup scale="76" orientation="portrait" blackAndWhite="1" r:id="rId1"/>
  <headerFooter alignWithMargins="0"/>
  <rowBreaks count="2" manualBreakCount="2">
    <brk id="78" max="11" man="1"/>
    <brk id="164" max="11" man="1"/>
  </rowBreaks>
  <colBreaks count="2" manualBreakCount="2">
    <brk id="12" min="1" max="173" man="1"/>
    <brk id="21" max="1048575" man="1"/>
  </colBreaks>
  <ignoredErrors>
    <ignoredError sqref="E74:E75" unlocked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DEA6D5C7-534A-4962-89A1-B046CEDFFA62}"/>
</file>

<file path=customXml/itemProps2.xml><?xml version="1.0" encoding="utf-8"?>
<ds:datastoreItem xmlns:ds="http://schemas.openxmlformats.org/officeDocument/2006/customXml" ds:itemID="{06C11DE6-861C-4D1A-85A1-B24D828E114C}">
  <ds:schemaRefs>
    <ds:schemaRef ds:uri="http://schemas.microsoft.com/office/2006/metadata/properties"/>
    <ds:schemaRef ds:uri="http://schemas.microsoft.com/office/infopath/2007/PartnerControls"/>
    <ds:schemaRef ds:uri="a0633713-7183-4e0c-a7f3-9aefb849a633"/>
    <ds:schemaRef ds:uri="9d38d736-0ce9-4dad-a921-92d39cb0d1f8"/>
  </ds:schemaRefs>
</ds:datastoreItem>
</file>

<file path=customXml/itemProps3.xml><?xml version="1.0" encoding="utf-8"?>
<ds:datastoreItem xmlns:ds="http://schemas.openxmlformats.org/officeDocument/2006/customXml" ds:itemID="{E2A96CCB-A316-4DEA-9390-F7A5C322ED3E}">
  <ds:schemaRefs>
    <ds:schemaRef ds:uri="http://schemas.microsoft.com/sharepoint/v3/contenttype/forms"/>
  </ds:schemaRefs>
</ds:datastoreItem>
</file>

<file path=customXml/itemProps4.xml><?xml version="1.0" encoding="utf-8"?>
<ds:datastoreItem xmlns:ds="http://schemas.openxmlformats.org/officeDocument/2006/customXml" ds:itemID="{98E1FAF9-9642-4B94-871B-8455980A3E6B}">
  <ds:schemaRefs>
    <ds:schemaRef ds:uri="http://schemas.microsoft.com/sharepoint/events"/>
  </ds:schemaRefs>
</ds:datastoreItem>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 Ewe Flock</vt:lpstr>
      <vt:lpstr>Ewe Flock COP</vt:lpstr>
      <vt:lpstr>'Ewe Flock COP'!Print_Area</vt:lpstr>
    </vt:vector>
  </TitlesOfParts>
  <Manager/>
  <Company>OMAFRA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Molenhuis</dc:creator>
  <cp:keywords/>
  <dc:description/>
  <cp:lastModifiedBy>Molenhuis, John (OMAFA)</cp:lastModifiedBy>
  <cp:revision/>
  <dcterms:created xsi:type="dcterms:W3CDTF">2003-10-28T16:37:14Z</dcterms:created>
  <dcterms:modified xsi:type="dcterms:W3CDTF">2024-07-26T14:50:52Z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2023-09-06T20:10:26Z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ContentBits">
    <vt:lpwstr>0</vt:lpwstr>
  </property>
  <property fmtid="{D5CDD505-2E9C-101B-9397-08002B2CF9AE}" pid="8" name="ContentTypeId">
    <vt:lpwstr>0x01010043842F08D5C4194AB3AA6AD98986A4CA</vt:lpwstr>
  </property>
  <property fmtid="{D5CDD505-2E9C-101B-9397-08002B2CF9AE}" pid="9" name="MediaServiceImageTags">
    <vt:lpwstr/>
  </property>
</Properties>
</file>