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omments6.xml" ContentType="application/vnd.openxmlformats-officedocument.spreadsheetml.comments+xml"/>
  <Override PartName="/xl/worksheets/sheet5.xml" ContentType="application/vnd.openxmlformats-officedocument.spreadsheetml.worksheet+xml"/>
  <Override PartName="/xl/comments7.xml" ContentType="application/vnd.openxmlformats-officedocument.spreadsheetml.comments+xml"/>
  <Override PartName="/xl/worksheets/sheet6.xml" ContentType="application/vnd.openxmlformats-officedocument.spreadsheetml.worksheet+xml"/>
  <Override PartName="/xl/comments8.xml" ContentType="application/vnd.openxmlformats-officedocument.spreadsheetml.comments+xml"/>
  <Override PartName="/xl/worksheets/sheet7.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comments10.xml" ContentType="application/vnd.openxmlformats-officedocument.spreadsheetml.comments+xml"/>
  <Override PartName="/xl/worksheets/sheet9.xml" ContentType="application/vnd.openxmlformats-officedocument.spreadsheetml.worksheet+xml"/>
  <Override PartName="/xl/comments11.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91" windowWidth="11955" windowHeight="7530" tabRatio="892" activeTab="0"/>
  </bookViews>
  <sheets>
    <sheet name="Tips" sheetId="1" r:id="rId1"/>
    <sheet name="Schedule" sheetId="2" r:id="rId2"/>
    <sheet name="Dialog1" sheetId="3" state="hidden" r:id="rId3"/>
    <sheet name="Balance" sheetId="4" r:id="rId4"/>
    <sheet name="P+I" sheetId="5" r:id="rId5"/>
    <sheet name="Compare" sheetId="6" r:id="rId6"/>
    <sheet name="Prepay" sheetId="7" r:id="rId7"/>
    <sheet name="Refinance" sheetId="8" r:id="rId8"/>
    <sheet name="InterestRate" sheetId="9" r:id="rId9"/>
    <sheet name="Time" sheetId="10" r:id="rId10"/>
    <sheet name="Max" sheetId="11" r:id="rId11"/>
    <sheet name="SetToolbars" sheetId="12" state="hidden" r:id="rId12"/>
  </sheets>
  <definedNames>
    <definedName name="__123Graph_A" hidden="1">'Schedule'!#REF!</definedName>
    <definedName name="__123Graph_ABALANCE" hidden="1">'Schedule'!$E$14:$E$133</definedName>
    <definedName name="__123Graph_LBL_A" hidden="1">'Schedule'!#REF!</definedName>
    <definedName name="__123Graph_X" hidden="1">'Schedule'!$I$1:$I$150</definedName>
    <definedName name="__123Graph_XBALANCE" hidden="1">'Schedule'!$A$14:$A$133</definedName>
    <definedName name="_1__123Graph_AP_I" hidden="1">'Schedule'!#REF!</definedName>
    <definedName name="_2__123Graph_BP_I" hidden="1">'Schedule'!$D$14:$D$133</definedName>
    <definedName name="_3__123Graph_LBL_AP_I" hidden="1">'Schedule'!#REF!</definedName>
    <definedName name="_4__123Graph_LBL_BP_I" hidden="1">'Schedule'!#REF!</definedName>
    <definedName name="_5__123Graph_XP_I" hidden="1">'Schedule'!$A$14:$A$133</definedName>
    <definedName name="_Fill" hidden="1">'Schedule'!#REF!</definedName>
    <definedName name="_Regression_Int" localSheetId="1" hidden="1">1</definedName>
    <definedName name="allschedule">OFFSET('Schedule'!$A$1,0,0,COUNTIF('Schedule'!$G$13:$G$413,"&gt;0")+13,8)</definedName>
    <definedName name="ChosenPayments">OFFSET('Schedule'!$A$1,0,0,input+13,8)</definedName>
    <definedName name="closing_bbal">OFFSET('Schedule'!$A$1,0,0,COUNTIF('Schedule'!$G$13:$G$413,"&gt;5")+13,8)</definedName>
    <definedName name="compare_area">'Compare'!$B$2:$I$19</definedName>
    <definedName name="datalist">'Schedule'!$K$13:$N$413</definedName>
    <definedName name="EditBoxPaymts">"Edit Box 47"</definedName>
    <definedName name="first">'Schedule'!$N$3</definedName>
    <definedName name="graph_closebal">OFFSET('Schedule'!$G$13,0,0,COUNTIF('Schedule'!$G$13:$G$413,"&gt;5")+1,1)</definedName>
    <definedName name="input">'Schedule'!$R$2</definedName>
    <definedName name="int_pmt">OFFSET('Schedule'!$D$13,0,0,COUNTIF('Schedule'!$G$14:$G$413,"&gt;5")+2)</definedName>
    <definedName name="interest_area">'InterestRate'!$A$1:$G$20</definedName>
    <definedName name="InterestTD">OFFSET('Schedule'!$A$13,first,3,last-first+1,1)</definedName>
    <definedName name="last">'Schedule'!$N$4</definedName>
    <definedName name="lastcell">'InterestRate'!$H$10</definedName>
    <definedName name="max_area">'Max'!$A$1:$H$22</definedName>
    <definedName name="option_pmts">"Option Button 43"</definedName>
    <definedName name="pmt_no">OFFSET('Schedule'!$A$13,0,0,COUNTIF('Schedule'!$G$13:$G$413,"&gt;5")+1,1)</definedName>
    <definedName name="pmt_no2">OFFSET('Schedule'!$A$14,0,0,COUNTIF('Schedule'!$G$14:$G$413,"&gt;5")+1,1)</definedName>
    <definedName name="prepay_area">'Prepay'!$A$1:$H$24</definedName>
    <definedName name="princ_pmt">OFFSET('Schedule'!$E$13,0,0,COUNTIF('Schedule'!$G$14:$G$413,"&gt;5")+2,1)</definedName>
    <definedName name="principalTD">OFFSET('Schedule'!$A$13,first,4,last-first+1,1)</definedName>
    <definedName name="_xlnm.Print_Area" localSheetId="5">'Compare'!$B$2:$I$19</definedName>
    <definedName name="_xlnm.Print_Area" localSheetId="10">'Max'!$A$1:$H$23</definedName>
    <definedName name="refinance_area">'Refinance'!$A$1:$I$42</definedName>
    <definedName name="sound">'Tips'!$J$120</definedName>
    <definedName name="SpinnerPaymts">"Spinner 52"</definedName>
    <definedName name="time_area">'Time'!$A$1:$I$22</definedName>
    <definedName name="Tips_area">'Tips'!$B$2:$K$98</definedName>
  </definedNames>
  <calcPr fullCalcOnLoad="1"/>
</workbook>
</file>

<file path=xl/comments1.xml><?xml version="1.0" encoding="utf-8"?>
<comments xmlns="http://schemas.openxmlformats.org/spreadsheetml/2006/main">
  <authors>
    <author>A satisfied Microsoft Office user</author>
  </authors>
  <commentList>
    <comment ref="J120" authorId="0">
      <text>
        <r>
          <rPr>
            <sz val="8"/>
            <rFont val="Tahoma"/>
            <family val="2"/>
          </rPr>
          <t xml:space="preserve">[Sound not converted]
</t>
        </r>
      </text>
    </comment>
  </commentList>
</comments>
</file>

<file path=xl/comments10.xml><?xml version="1.0" encoding="utf-8"?>
<comments xmlns="http://schemas.openxmlformats.org/spreadsheetml/2006/main">
  <authors>
    <author>A satisfied Microsoft Office user</author>
  </authors>
  <commentList>
    <comment ref="F7"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11.xml><?xml version="1.0" encoding="utf-8"?>
<comments xmlns="http://schemas.openxmlformats.org/spreadsheetml/2006/main">
  <authors>
    <author>A satisfied Microsoft Office user</author>
  </authors>
  <commentList>
    <comment ref="F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2.xml><?xml version="1.0" encoding="utf-8"?>
<comments xmlns="http://schemas.openxmlformats.org/spreadsheetml/2006/main">
  <authors>
    <author>A satisfied Microsoft Office user</author>
  </authors>
  <commentList>
    <comment ref="C7"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 ref="F8" authorId="0">
      <text>
        <r>
          <rPr>
            <sz val="8"/>
            <rFont val="Tahoma"/>
            <family val="2"/>
          </rPr>
          <t xml:space="preserve">This value is the amount of interest to be paid, including adjustments to the loan through optional additional payments.
If no optional payments have been made, this value may vary a few cents from the scheduled interest calculation above due to the rounding of individual payments.
</t>
        </r>
      </text>
    </comment>
    <comment ref="B11" authorId="0">
      <text>
        <r>
          <rPr>
            <sz val="8"/>
            <rFont val="Tahoma"/>
            <family val="2"/>
          </rPr>
          <t xml:space="preserve">The beginning balance shown is specific to each payment and is based on the loan information provided including any optional additional payments that have been added.
</t>
        </r>
      </text>
    </comment>
    <comment ref="F11" authorId="0">
      <text>
        <r>
          <rPr>
            <sz val="8"/>
            <rFont val="Tahoma"/>
            <family val="2"/>
          </rPr>
          <t xml:space="preserve">Optional additional payments may be entered in this column.
</t>
        </r>
      </text>
    </comment>
    <comment ref="C12" authorId="0">
      <text>
        <r>
          <rPr>
            <sz val="8"/>
            <rFont val="Tahoma"/>
            <family val="2"/>
          </rPr>
          <t xml:space="preserve">The payment shown is based on the information provided above.  You may change the information about the loan at any time.
</t>
        </r>
      </text>
    </comment>
  </commentList>
</comments>
</file>

<file path=xl/comments6.xml><?xml version="1.0" encoding="utf-8"?>
<comments xmlns="http://schemas.openxmlformats.org/spreadsheetml/2006/main">
  <authors>
    <author>A satisfied Microsoft Office user</author>
  </authors>
  <commentList>
    <comment ref="E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7.xml><?xml version="1.0" encoding="utf-8"?>
<comments xmlns="http://schemas.openxmlformats.org/spreadsheetml/2006/main">
  <authors>
    <author>A satisfied Microsoft Office user</author>
  </authors>
  <commentList>
    <comment ref="E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8.xml><?xml version="1.0" encoding="utf-8"?>
<comments xmlns="http://schemas.openxmlformats.org/spreadsheetml/2006/main">
  <authors>
    <author>A satisfied Microsoft Office user</author>
  </authors>
  <commentList>
    <comment ref="F7"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 ref="F10" authorId="0">
      <text>
        <r>
          <rPr>
            <sz val="8"/>
            <rFont val="Tahoma"/>
            <family val="2"/>
          </rPr>
          <t>The number of payments remaining over the entire amortized life of the loan.</t>
        </r>
      </text>
    </comment>
    <comment ref="F11" authorId="0">
      <text>
        <r>
          <rPr>
            <sz val="8"/>
            <rFont val="Tahoma"/>
            <family val="2"/>
          </rPr>
          <t xml:space="preserve">The term of the loan is the period before the loan is to be renewed.  For example, a loan with an amortized length of 20 years could have a term of 5 years. After the 5 years of payments, the remaining portion is renegotiated based on the rates at that time.
At normal renewal, there would be no charge to obtain the current rate. Therefore, the calculation is based on the interval to the next renewal.
</t>
        </r>
      </text>
    </comment>
    <comment ref="E38" authorId="0">
      <text>
        <r>
          <rPr>
            <sz val="8"/>
            <rFont val="Tahoma"/>
            <family val="2"/>
          </rPr>
          <t>The advantage\disadvantage shown here is based on a straight dollar calculation.
It is the sum of the per payment savings plus the differnce in the outstanding principal minus the refinancing fee when not included already.
There has been no adjustment of the value to reflect present value differences of timing of payments.</t>
        </r>
      </text>
    </comment>
  </commentList>
</comments>
</file>

<file path=xl/comments9.xml><?xml version="1.0" encoding="utf-8"?>
<comments xmlns="http://schemas.openxmlformats.org/spreadsheetml/2006/main">
  <authors>
    <author>A satisfied Microsoft Office user</author>
  </authors>
  <commentList>
    <comment ref="E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 ref="E10" authorId="0">
      <text>
        <r>
          <rPr>
            <sz val="8"/>
            <rFont val="Tahoma"/>
            <family val="2"/>
          </rPr>
          <t xml:space="preserve">The Estimated Rate is the actual negotiated rate. 
The Effective Rate is the stated annual rate adjusted to reflect  of compounding. 
Most bank mortgages are compounded 2 times per year. Other loans are often compounded  monthly. The effective rate shown is the rate if loan was compounded once per year. A greater  number of compounding periods per year results in a higher effective interest rate.
</t>
        </r>
      </text>
    </comment>
  </commentList>
</comments>
</file>

<file path=xl/sharedStrings.xml><?xml version="1.0" encoding="utf-8"?>
<sst xmlns="http://schemas.openxmlformats.org/spreadsheetml/2006/main" count="246" uniqueCount="205">
  <si>
    <t>Payment Schedule</t>
  </si>
  <si>
    <t>Interim Totals for Principal, Interest and Total Payments</t>
  </si>
  <si>
    <t xml:space="preserve">    PAYMENT</t>
  </si>
  <si>
    <t>no of paymts selected</t>
  </si>
  <si>
    <t xml:space="preserve">  LOAN AMOUNT      ($)</t>
  </si>
  <si>
    <t>Starting with payment number:</t>
  </si>
  <si>
    <t xml:space="preserve">  ANNUAL INTEREST RATE %</t>
  </si>
  <si>
    <t xml:space="preserve"> Scheduled Interest</t>
  </si>
  <si>
    <t>and ending with payment number:</t>
  </si>
  <si>
    <t xml:space="preserve">  LENGTH OF LOAN (YEARS)</t>
  </si>
  <si>
    <t>August 6, 1997 Release 1</t>
  </si>
  <si>
    <t xml:space="preserve">  NO. OF PAYMENTS PER YEAR</t>
  </si>
  <si>
    <t>Actual Interest</t>
  </si>
  <si>
    <t>The total payments are:   $</t>
  </si>
  <si>
    <t xml:space="preserve">  COMPOUNDING PERIODS/YEAR</t>
  </si>
  <si>
    <t>with optional payments</t>
  </si>
  <si>
    <t>The total interest is:          $</t>
  </si>
  <si>
    <t>The total principal is:        $</t>
  </si>
  <si>
    <t>Beginning</t>
  </si>
  <si>
    <t>Scheduled</t>
  </si>
  <si>
    <t>Interest</t>
  </si>
  <si>
    <t xml:space="preserve"> Principal</t>
  </si>
  <si>
    <t>Optional</t>
  </si>
  <si>
    <t>Closing</t>
  </si>
  <si>
    <t>Payments</t>
  </si>
  <si>
    <t xml:space="preserve">Interest </t>
  </si>
  <si>
    <t>Principal</t>
  </si>
  <si>
    <t>Pmt</t>
  </si>
  <si>
    <t xml:space="preserve"> Balance</t>
  </si>
  <si>
    <t>Payment</t>
  </si>
  <si>
    <t>Portion</t>
  </si>
  <si>
    <t xml:space="preserve"> Payments</t>
  </si>
  <si>
    <t>Balance</t>
  </si>
  <si>
    <t xml:space="preserve"> to date</t>
  </si>
  <si>
    <t>to date</t>
  </si>
  <si>
    <t>to Date</t>
  </si>
  <si>
    <t>End       of        the        available             Payment             Schedule</t>
  </si>
  <si>
    <t xml:space="preserve">    COMPARING INITIAL RATES</t>
  </si>
  <si>
    <t>LOAN A</t>
  </si>
  <si>
    <t>LOAN B</t>
  </si>
  <si>
    <t>LOAN C</t>
  </si>
  <si>
    <t xml:space="preserve">  Loan Amount</t>
  </si>
  <si>
    <t>$</t>
  </si>
  <si>
    <t xml:space="preserve">  Annual Interest Rate</t>
  </si>
  <si>
    <t>%</t>
  </si>
  <si>
    <t xml:space="preserve">  Amortized Length of Loan (Years)</t>
  </si>
  <si>
    <t xml:space="preserve">  Number of Payments Per Year</t>
  </si>
  <si>
    <t xml:space="preserve">  Compounding Periods per Year</t>
  </si>
  <si>
    <t xml:space="preserve">  PAYMENT</t>
  </si>
  <si>
    <t xml:space="preserve">  TOTAL INTEREST</t>
  </si>
  <si>
    <t xml:space="preserve">  PAYMENT SAVING (LOSS) VS. "A"</t>
  </si>
  <si>
    <t xml:space="preserve">  TOTAL INTEREST SAVING (LOSS) VS. "A"</t>
  </si>
  <si>
    <t xml:space="preserve">   Use this sheet to compare the payment and total interest requirements of three different loans.</t>
  </si>
  <si>
    <t xml:space="preserve"> PREPAYING PART OF THE UNPAID BALANCE EARLY  </t>
  </si>
  <si>
    <t xml:space="preserve">  Principal Amount       </t>
  </si>
  <si>
    <t xml:space="preserve">  Annual Interest Rate%</t>
  </si>
  <si>
    <t xml:space="preserve">  Amort.Length of Loan (Years)</t>
  </si>
  <si>
    <t xml:space="preserve">  Number of  Payments per Year</t>
  </si>
  <si>
    <t>Amount to be Prepaid ($)</t>
  </si>
  <si>
    <t>No. of Payments Remaining</t>
  </si>
  <si>
    <t xml:space="preserve">  Loan  Payment</t>
  </si>
  <si>
    <t xml:space="preserve">  Unpaid Principal Balance</t>
  </si>
  <si>
    <t xml:space="preserve">  Unpaid Interest  Balance</t>
  </si>
  <si>
    <t xml:space="preserve">  Revised Unpaid Principal Balance</t>
  </si>
  <si>
    <t xml:space="preserve">  Revised Unpaid Interest Balance</t>
  </si>
  <si>
    <t xml:space="preserve">  Revised No. of Payments Remaining</t>
  </si>
  <si>
    <t xml:space="preserve">  Decrease in No. of  Payments Remaining</t>
  </si>
  <si>
    <t xml:space="preserve">  Total Interest  Saved</t>
  </si>
  <si>
    <t xml:space="preserve">       Use this sheet to calculate the total interest saved over the life of the loan by making a prepayment.</t>
  </si>
  <si>
    <t xml:space="preserve"> REFINANCING THE UNPAID BALANCE </t>
  </si>
  <si>
    <t xml:space="preserve">      Original Loan Amount             ($)</t>
  </si>
  <si>
    <t xml:space="preserve">      Annual Interest Rate               %</t>
  </si>
  <si>
    <t xml:space="preserve">      Amort. Length of Loan (Years)</t>
  </si>
  <si>
    <t xml:space="preserve">      No. of Payments per Year</t>
  </si>
  <si>
    <t xml:space="preserve">      Compounding Periods per Year</t>
  </si>
  <si>
    <t xml:space="preserve">     NEW INTEREST RATE</t>
  </si>
  <si>
    <t xml:space="preserve">     REFINANCING CHARGES  </t>
  </si>
  <si>
    <t xml:space="preserve"> No. of Amort. Pmts Remaining in  Original Loan</t>
  </si>
  <si>
    <t xml:space="preserve"> No. of  Pmts to end of Current Loan Term</t>
  </si>
  <si>
    <t xml:space="preserve"> No of Pmts Left at Normal Renewal would be:</t>
  </si>
  <si>
    <t>Current Unpaid Principal</t>
  </si>
  <si>
    <t xml:space="preserve">Current Unpaid Interest </t>
  </si>
  <si>
    <t>Original Payment</t>
  </si>
  <si>
    <t xml:space="preserve">   A</t>
  </si>
  <si>
    <t xml:space="preserve">   B</t>
  </si>
  <si>
    <t xml:space="preserve">   C</t>
  </si>
  <si>
    <t xml:space="preserve"> Current Unpaid Principal</t>
  </si>
  <si>
    <t xml:space="preserve"> Original  Payment</t>
  </si>
  <si>
    <t xml:space="preserve"> New  Principal Balance</t>
  </si>
  <si>
    <t xml:space="preserve"> New Payment</t>
  </si>
  <si>
    <t xml:space="preserve"> Savings per Payment</t>
  </si>
  <si>
    <t xml:space="preserve">  Original Loan - if left unchanged</t>
  </si>
  <si>
    <t xml:space="preserve">  New Loan</t>
  </si>
  <si>
    <t xml:space="preserve">  Principal  Decrease (Increase)</t>
  </si>
  <si>
    <t xml:space="preserve">  Refinancing Costs</t>
  </si>
  <si>
    <t>included</t>
  </si>
  <si>
    <t xml:space="preserve">  Total Advantage/Disadvantage</t>
  </si>
  <si>
    <t xml:space="preserve"> A: Loan refinancing costs are added to current loan balance; </t>
  </si>
  <si>
    <t xml:space="preserve"> B: Refinancing costs not added to loan balance</t>
  </si>
  <si>
    <t xml:space="preserve"> C: Refinancing costs added; original payments maintained</t>
  </si>
  <si>
    <t xml:space="preserve"> CALCULATING the ANNUAL INTEREST RATE </t>
  </si>
  <si>
    <t>Principal Amount         $</t>
  </si>
  <si>
    <t>Payment for each Period           $</t>
  </si>
  <si>
    <t>Years</t>
  </si>
  <si>
    <t>Payments Per Year</t>
  </si>
  <si>
    <t>Compounds Per Year</t>
  </si>
  <si>
    <t xml:space="preserve">  Estimated Interest Rate:</t>
  </si>
  <si>
    <t xml:space="preserve">  Effective Interest Rate:</t>
  </si>
  <si>
    <t xml:space="preserve">    LENGTH OF REPAYMENT PERIOD REQUIRED </t>
  </si>
  <si>
    <t xml:space="preserve">  Amount of the Loan</t>
  </si>
  <si>
    <t xml:space="preserve">  Interest Rate</t>
  </si>
  <si>
    <t xml:space="preserve">  Payments per Year</t>
  </si>
  <si>
    <t xml:space="preserve">  Compounding Periods Per Year</t>
  </si>
  <si>
    <t xml:space="preserve">  MINIMUM REQUIRED PAYMENT</t>
  </si>
  <si>
    <t>OPTION  A</t>
  </si>
  <si>
    <t>OPTION B</t>
  </si>
  <si>
    <t>OPTION C</t>
  </si>
  <si>
    <t xml:space="preserve">  PROPOSED PAYMENTS</t>
  </si>
  <si>
    <t xml:space="preserve">  NO. OF PAYMENTS REQUIRED</t>
  </si>
  <si>
    <t xml:space="preserve">  NO. OF YEARS REQUIRED</t>
  </si>
  <si>
    <t xml:space="preserve">  Total Amount to Repay Loan          $</t>
  </si>
  <si>
    <t xml:space="preserve">    MAXIMUM  AMOUNT THAT CAN BE BORROWED</t>
  </si>
  <si>
    <t xml:space="preserve">  Amount Available for each Loan Payment </t>
  </si>
  <si>
    <t xml:space="preserve">  Number of Payments per Year</t>
  </si>
  <si>
    <t xml:space="preserve">  Interest Rate %</t>
  </si>
  <si>
    <t xml:space="preserve">  Length of Loan in Years</t>
  </si>
  <si>
    <t xml:space="preserve">  MAXIMUM AMOUNT THAT CAN BE BORROWED              $</t>
  </si>
  <si>
    <t>This sheet calculates the maximum that can be borrowed, based on amount available for the</t>
  </si>
  <si>
    <t xml:space="preserve">payment and other information supplied. </t>
  </si>
  <si>
    <t>Notes and Tips for Loan Calculator</t>
  </si>
  <si>
    <t>For some computers, the screen size will need to be reset. Use the "Schedule" worksheet to check.</t>
  </si>
  <si>
    <t>Make sure that your cursor is at the extreme left of the sheet. The 7 columns (from Pmt  to  Closing</t>
  </si>
  <si>
    <t>Balance)  that make up the repayment schedule should fully fill the screen from left to right. (If you have a</t>
  </si>
  <si>
    <t>colour monitor, this is the area with the dark blue background.)  If not, then use the " Size"  control in the</t>
  </si>
  <si>
    <t>upper left to adjust as needed. You can select from the choices that it gives you, or enter your own</t>
  </si>
  <si>
    <t>number.</t>
  </si>
  <si>
    <t>When you find the correct adjustment for the "Schedule" sheet, use the same adjustment for each of the</t>
  </si>
  <si>
    <t>other sheets. The "Balance" and "P+I" sheets will not need to be changed. When all the sheets have</t>
  </si>
  <si>
    <t xml:space="preserve">been adjusted to suit you, save the workbook using "File, Save" found at the upper left. </t>
  </si>
  <si>
    <t>sections for: 1) the length of the loan, 2) the number of payments per year, and 3) the number of</t>
  </si>
  <si>
    <t>compounding periods per year. While it is possible to have a loan that has one of these items at less</t>
  </si>
  <si>
    <t>than one, it often leads to confusion regarding the correct values to be entered in the various data  entry</t>
  </si>
  <si>
    <t xml:space="preserve">areas. The decision was made to not allow entries of less than one.                </t>
  </si>
  <si>
    <t>As well the program does not allow a value of less than zero to be entered for: 1) the amount of the loan</t>
  </si>
  <si>
    <t xml:space="preserve">or 2) the annual interest rate, </t>
  </si>
  <si>
    <t>advance. Many other types of loans, such as equipment and demand loans are usually compounded</t>
  </si>
  <si>
    <t>monthly. This program requires that a minimum of one compounding period per year be used.</t>
  </si>
  <si>
    <t>Position the cursor slightly to the left and below the dot, and the note will appear.</t>
  </si>
  <si>
    <t>another workbook while this workbook is still active, you may want to make some tool bars visible. To do</t>
  </si>
  <si>
    <t>so, you have two options. Either right click on the visible toolbars and then select the additional toolbar(s)</t>
  </si>
  <si>
    <t xml:space="preserve">that you want, or select View, Toolbars from the top menu. </t>
  </si>
  <si>
    <t>From the top menu select File, and either Pagesetup or Print.  Pagesetup includes options for changing</t>
  </si>
  <si>
    <t>margins, the print scale, paper choices and source and font sources. The Print option allows the</t>
  </si>
  <si>
    <t>selection of individual printers, and their configuration.</t>
  </si>
  <si>
    <t>The Different Sheets and Graphs</t>
  </si>
  <si>
    <t>There are a maximum of 400 payments shown.</t>
  </si>
  <si>
    <t>The optional payment column allows the entry of additional payments in addition to the scheduled</t>
  </si>
  <si>
    <t>payment. When an additional payment is entered, that line and all subsequent payments will have their</t>
  </si>
  <si>
    <t>data updated to reflect the new information. Missed or partial payment of a scheduled payment can be</t>
  </si>
  <si>
    <t>entered as a negative value in the optional payment column.</t>
  </si>
  <si>
    <t>From the starting (home) screen, tab right once to find interim and running totals for principal, interest</t>
  </si>
  <si>
    <t>and total payments, including any optional payments shown in the main data area.</t>
  </si>
  <si>
    <t>This area will allow the calculation of the various amount for principal, interest, and principal</t>
  </si>
  <si>
    <t>for a selected interval, and includes adjustments for any additional payments shown.</t>
  </si>
  <si>
    <t>If you enter a payment number greater than that in the loan, the result will be that the answer shown will</t>
  </si>
  <si>
    <t xml:space="preserve">be zero. Enter the correct payment numbers. </t>
  </si>
  <si>
    <t>Graphs</t>
  </si>
  <si>
    <t>The graphs "Balance" and "P+I" are tied to the Schedule sheet and reflect the loan information entered</t>
  </si>
  <si>
    <t>there including optional additional payments. If the loan exceeds 400 payments, only the first 400 are</t>
  </si>
  <si>
    <t>shown.</t>
  </si>
  <si>
    <t>The Balance graph shows the outstanding balance of the loan, reflecting the payment of principal over</t>
  </si>
  <si>
    <t>time.</t>
  </si>
  <si>
    <t>The P+I graph shows the amount  of principal and interest of each payment.</t>
  </si>
  <si>
    <t>interest over the entire loan.</t>
  </si>
  <si>
    <t>loan. Normally this option would be considered when interest rates have dropped significantly since the</t>
  </si>
  <si>
    <t>time when the loan was originally taken out.</t>
  </si>
  <si>
    <t>Note the calculation is only for the remaining term of the loan, not the entire remaining amortization. At the</t>
  </si>
  <si>
    <t>end of the current term of the loan, the loan could be paid off in whole or in part, without additional fees,</t>
  </si>
  <si>
    <t>and the remaining balance would be renegotiated at the rates current at that time.</t>
  </si>
  <si>
    <t>The three  options calculated are:</t>
  </si>
  <si>
    <t>1)  the refinancing costs are added to the current outstanding balance of the loan</t>
  </si>
  <si>
    <t>2) the refinancing costs are not added, but paid separately</t>
  </si>
  <si>
    <t>3) The refinancing costs are added but the original payments are maintained</t>
  </si>
  <si>
    <t xml:space="preserve">None of  the calculations are  adjusted for present values.  </t>
  </si>
  <si>
    <t>and the selected payment. Also shows the total amount to repay the loan.</t>
  </si>
  <si>
    <t>payment.  Also shows the amount that could be borrowed if interest rates were 1% higher or lower than</t>
  </si>
  <si>
    <t>indicated. As well, calculates the amount that could borrowed if the loan was 5 years longer or shorter.</t>
  </si>
  <si>
    <t>Standard</t>
  </si>
  <si>
    <t>Formatting</t>
  </si>
  <si>
    <t xml:space="preserve">DO NOT DELETE THIS SHEET OR USE FOR ANY CALCULATIONS </t>
  </si>
  <si>
    <r>
      <t>Data Entries</t>
    </r>
    <r>
      <rPr>
        <sz val="12"/>
        <rFont val="Arial"/>
        <family val="2"/>
      </rPr>
      <t>:  By design, this program will not allow a value of less than one (1) to be entered in most</t>
    </r>
  </si>
  <si>
    <r>
      <t>Compounding periods</t>
    </r>
    <r>
      <rPr>
        <sz val="12"/>
        <rFont val="Arial"/>
        <family val="2"/>
      </rPr>
      <t>:  Mortgages in Canada are normally compounded 2 times per year, not in</t>
    </r>
  </si>
  <si>
    <r>
      <t>Notes in Sheets:</t>
    </r>
    <r>
      <rPr>
        <sz val="12"/>
        <rFont val="Arial"/>
        <family val="2"/>
      </rPr>
      <t xml:space="preserve"> In many of the sheets, a small red dot is used to indicate notes and reminders.</t>
    </r>
  </si>
  <si>
    <r>
      <t>Toolbars</t>
    </r>
    <r>
      <rPr>
        <sz val="12"/>
        <rFont val="Arial"/>
        <family val="2"/>
      </rPr>
      <t xml:space="preserve">  This workbook  turns off most of the toolbars that are normally visible in Excel. If you load</t>
    </r>
  </si>
  <si>
    <r>
      <t>Printing</t>
    </r>
    <r>
      <rPr>
        <sz val="12"/>
        <rFont val="Arial"/>
        <family val="2"/>
      </rPr>
      <t xml:space="preserve">  This workbook may not print well from all printers. You can change most printing options.</t>
    </r>
  </si>
  <si>
    <r>
      <t>Schedule</t>
    </r>
    <r>
      <rPr>
        <sz val="12"/>
        <rFont val="Arial"/>
        <family val="2"/>
      </rPr>
      <t>:   Shows the principal and interest portion of each payment, based on the information provided.</t>
    </r>
  </si>
  <si>
    <r>
      <t>Compare</t>
    </r>
    <r>
      <rPr>
        <sz val="12"/>
        <rFont val="Arial"/>
        <family val="2"/>
      </rPr>
      <t xml:space="preserve">   Enter the initial information on three loans to compare the payments required and the total</t>
    </r>
  </si>
  <si>
    <r>
      <t xml:space="preserve">Prepay </t>
    </r>
    <r>
      <rPr>
        <sz val="12"/>
        <rFont val="Arial"/>
        <family val="2"/>
      </rPr>
      <t xml:space="preserve">   Calculates the interest savings over the life of the loan when a prepayment is made.</t>
    </r>
  </si>
  <si>
    <r>
      <t>Refinance</t>
    </r>
    <r>
      <rPr>
        <sz val="12"/>
        <rFont val="Arial"/>
        <family val="2"/>
      </rPr>
      <t xml:space="preserve">   Uses three different options to compare the advantage or disadvantage of refinancing a</t>
    </r>
  </si>
  <si>
    <r>
      <t xml:space="preserve">Interest Rate </t>
    </r>
    <r>
      <rPr>
        <sz val="12"/>
        <rFont val="Arial"/>
        <family val="2"/>
      </rPr>
      <t xml:space="preserve"> Calculates the actual and effective interest rate, based on the information provided.</t>
    </r>
  </si>
  <si>
    <r>
      <t>Time</t>
    </r>
    <r>
      <rPr>
        <sz val="12"/>
        <rFont val="Arial"/>
        <family val="2"/>
      </rPr>
      <t xml:space="preserve">   Shows the number of payments required to repay a loan, based on the information provided</t>
    </r>
  </si>
  <si>
    <r>
      <t>Max$</t>
    </r>
    <r>
      <rPr>
        <sz val="12"/>
        <rFont val="Arial"/>
        <family val="2"/>
      </rPr>
      <t xml:space="preserve">  Calculates the maximum amount that can be borrowed, based on the dollars available for each</t>
    </r>
  </si>
  <si>
    <t xml:space="preserve">                Estimate the interest rate charged on a loan by the other loan information.</t>
  </si>
  <si>
    <t xml:space="preserve">     Compare different proposed payments to calculate the time required to totally pay off the loan. </t>
  </si>
  <si>
    <t>This is a farm business decision calculator that has 10 worksheets. There are fields that can be completed by the user. It is up to 17 columns wide and 414 rows.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</si>
</sst>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
    <numFmt numFmtId="166" formatCode="0.0_)"/>
    <numFmt numFmtId="167" formatCode="0.00000000%"/>
    <numFmt numFmtId="168" formatCode="0.00000000000000"/>
    <numFmt numFmtId="169" formatCode="0.00000000"/>
    <numFmt numFmtId="170" formatCode="0.0000000000000000000"/>
    <numFmt numFmtId="171" formatCode="0.000000"/>
    <numFmt numFmtId="172" formatCode="0.000000000000000000000"/>
    <numFmt numFmtId="173" formatCode="&quot;$&quot;#,##0.00"/>
    <numFmt numFmtId="174" formatCode="#,##0.0"/>
  </numFmts>
  <fonts count="86">
    <font>
      <sz val="9"/>
      <name val="Arial"/>
      <family val="2"/>
    </font>
    <font>
      <sz val="11"/>
      <color indexed="8"/>
      <name val="Calibri"/>
      <family val="2"/>
    </font>
    <font>
      <sz val="10"/>
      <name val="Arial"/>
      <family val="2"/>
    </font>
    <font>
      <sz val="8"/>
      <color indexed="37"/>
      <name val="Helv"/>
      <family val="0"/>
    </font>
    <font>
      <sz val="8"/>
      <name val="Arial"/>
      <family val="2"/>
    </font>
    <font>
      <sz val="9"/>
      <color indexed="12"/>
      <name val="Arial"/>
      <family val="2"/>
    </font>
    <font>
      <sz val="9"/>
      <color indexed="9"/>
      <name val="Arial"/>
      <family val="2"/>
    </font>
    <font>
      <sz val="9"/>
      <color indexed="8"/>
      <name val="Arial"/>
      <family val="2"/>
    </font>
    <font>
      <b/>
      <sz val="9"/>
      <color indexed="10"/>
      <name val="Arial"/>
      <family val="2"/>
    </font>
    <font>
      <b/>
      <sz val="16"/>
      <color indexed="10"/>
      <name val="Arial"/>
      <family val="2"/>
    </font>
    <font>
      <sz val="9"/>
      <color indexed="10"/>
      <name val="Arial"/>
      <family val="2"/>
    </font>
    <font>
      <b/>
      <sz val="12"/>
      <color indexed="8"/>
      <name val="Arial"/>
      <family val="2"/>
    </font>
    <font>
      <b/>
      <sz val="12"/>
      <name val="Arial"/>
      <family val="2"/>
    </font>
    <font>
      <sz val="9"/>
      <color indexed="43"/>
      <name val="Arial"/>
      <family val="2"/>
    </font>
    <font>
      <sz val="14"/>
      <color indexed="62"/>
      <name val="Arial"/>
      <family val="2"/>
    </font>
    <font>
      <sz val="16"/>
      <color indexed="18"/>
      <name val="Arial"/>
      <family val="2"/>
    </font>
    <font>
      <sz val="16"/>
      <color indexed="18"/>
      <name val="Helv"/>
      <family val="0"/>
    </font>
    <font>
      <sz val="14"/>
      <color indexed="18"/>
      <name val="Arial"/>
      <family val="2"/>
    </font>
    <font>
      <b/>
      <u val="single"/>
      <sz val="14"/>
      <color indexed="39"/>
      <name val="Arial"/>
      <family val="2"/>
    </font>
    <font>
      <sz val="9"/>
      <color indexed="39"/>
      <name val="Arial"/>
      <family val="2"/>
    </font>
    <font>
      <sz val="9"/>
      <color indexed="18"/>
      <name val="Arial"/>
      <family val="2"/>
    </font>
    <font>
      <sz val="8"/>
      <name val="Tahoma"/>
      <family val="2"/>
    </font>
    <font>
      <sz val="12"/>
      <color indexed="8"/>
      <name val="Arial"/>
      <family val="2"/>
    </font>
    <font>
      <sz val="12"/>
      <name val="Arial"/>
      <family val="2"/>
    </font>
    <font>
      <b/>
      <u val="single"/>
      <sz val="12"/>
      <name val="Arial"/>
      <family val="2"/>
    </font>
    <font>
      <b/>
      <sz val="12"/>
      <color indexed="12"/>
      <name val="Arial"/>
      <family val="2"/>
    </font>
    <font>
      <sz val="12"/>
      <color indexed="12"/>
      <name val="Arial"/>
      <family val="2"/>
    </font>
    <font>
      <sz val="12"/>
      <color indexed="12"/>
      <name val="Helv"/>
      <family val="0"/>
    </font>
    <font>
      <b/>
      <sz val="12"/>
      <color indexed="12"/>
      <name val="MS Sans Serif"/>
      <family val="2"/>
    </font>
    <font>
      <b/>
      <sz val="12"/>
      <color indexed="10"/>
      <name val="Arial"/>
      <family val="2"/>
    </font>
    <font>
      <sz val="12"/>
      <color indexed="10"/>
      <name val="Arial"/>
      <family val="2"/>
    </font>
    <font>
      <sz val="12"/>
      <color indexed="9"/>
      <name val="Arial"/>
      <family val="2"/>
    </font>
    <font>
      <b/>
      <sz val="12"/>
      <color indexed="8"/>
      <name val="Helv"/>
      <family val="0"/>
    </font>
    <font>
      <sz val="12"/>
      <color indexed="8"/>
      <name val="MS Sans Serif"/>
      <family val="2"/>
    </font>
    <font>
      <sz val="12"/>
      <color indexed="9"/>
      <name val="MS Sans Serif"/>
      <family val="2"/>
    </font>
    <font>
      <sz val="12"/>
      <color indexed="34"/>
      <name val="MS Sans Serif"/>
      <family val="2"/>
    </font>
    <font>
      <u val="single"/>
      <sz val="12"/>
      <name val="Arial"/>
      <family val="2"/>
    </font>
    <font>
      <b/>
      <sz val="12"/>
      <color indexed="56"/>
      <name val="Arial"/>
      <family val="2"/>
    </font>
    <font>
      <b/>
      <sz val="12"/>
      <name val="MS Sans Serif"/>
      <family val="2"/>
    </font>
    <font>
      <b/>
      <sz val="12"/>
      <color indexed="9"/>
      <name val="Arial"/>
      <family val="2"/>
    </font>
    <font>
      <b/>
      <sz val="12"/>
      <color indexed="21"/>
      <name val="Arial"/>
      <family val="2"/>
    </font>
    <font>
      <sz val="12"/>
      <color indexed="39"/>
      <name val="Arial"/>
      <family val="2"/>
    </font>
    <font>
      <b/>
      <sz val="12"/>
      <color indexed="12"/>
      <name val="Helv"/>
      <family val="0"/>
    </font>
    <font>
      <b/>
      <sz val="12"/>
      <color indexed="10"/>
      <name val="MS Sans Serif"/>
      <family val="2"/>
    </font>
    <font>
      <sz val="12"/>
      <color indexed="50"/>
      <name val="Arial"/>
      <family val="2"/>
    </font>
    <font>
      <b/>
      <sz val="12"/>
      <color indexed="50"/>
      <name val="Helv"/>
      <family val="0"/>
    </font>
    <font>
      <b/>
      <sz val="12"/>
      <color indexed="50"/>
      <name val="MS Sans Serif"/>
      <family val="2"/>
    </font>
    <font>
      <sz val="10"/>
      <name val="Courier"/>
      <family val="3"/>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8"/>
      <name val="Arial"/>
      <family val="2"/>
    </font>
    <font>
      <b/>
      <sz val="14"/>
      <color indexed="10"/>
      <name val="Arial"/>
      <family val="2"/>
    </font>
    <font>
      <sz val="8"/>
      <color indexed="10"/>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indexed="39"/>
        <bgColor indexed="64"/>
      </patternFill>
    </fill>
    <fill>
      <patternFill patternType="solid">
        <fgColor indexed="8"/>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color indexed="40"/>
      </bottom>
    </border>
    <border>
      <left/>
      <right style="thin"/>
      <top/>
      <bottom style="thin">
        <color indexed="40"/>
      </bottom>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7" fillId="0" borderId="0">
      <alignment/>
      <protection/>
    </xf>
    <xf numFmtId="0" fontId="0" fillId="32" borderId="7" applyNumberFormat="0" applyFont="0" applyAlignment="0" applyProtection="0"/>
    <xf numFmtId="0" fontId="81" fillId="27" borderId="8" applyNumberFormat="0" applyAlignment="0" applyProtection="0"/>
    <xf numFmtId="9" fontId="2"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78">
    <xf numFmtId="0" fontId="0" fillId="0" borderId="0" xfId="0" applyAlignment="1">
      <alignment/>
    </xf>
    <xf numFmtId="0" fontId="0" fillId="33" borderId="0" xfId="0" applyFill="1" applyAlignment="1">
      <alignment/>
    </xf>
    <xf numFmtId="0" fontId="0" fillId="34" borderId="0" xfId="0" applyFill="1" applyAlignment="1" applyProtection="1">
      <alignment horizontal="left"/>
      <protection/>
    </xf>
    <xf numFmtId="0" fontId="0" fillId="34" borderId="0" xfId="0" applyFill="1" applyAlignment="1">
      <alignment/>
    </xf>
    <xf numFmtId="0" fontId="8" fillId="34" borderId="0" xfId="0" applyFont="1" applyFill="1" applyAlignment="1">
      <alignment/>
    </xf>
    <xf numFmtId="0" fontId="0" fillId="34" borderId="0" xfId="0" applyFill="1" applyAlignment="1" applyProtection="1">
      <alignment horizontal="fill"/>
      <protection/>
    </xf>
    <xf numFmtId="0" fontId="4" fillId="34" borderId="0" xfId="0" applyFont="1" applyFill="1" applyAlignment="1" applyProtection="1" quotePrefix="1">
      <alignment horizontal="left"/>
      <protection/>
    </xf>
    <xf numFmtId="40" fontId="0" fillId="34" borderId="0" xfId="0" applyNumberFormat="1" applyFill="1" applyAlignment="1">
      <alignment/>
    </xf>
    <xf numFmtId="0" fontId="0" fillId="34" borderId="0" xfId="0" applyFill="1" applyAlignment="1" applyProtection="1">
      <alignment/>
      <protection/>
    </xf>
    <xf numFmtId="0" fontId="0" fillId="34" borderId="0" xfId="0" applyFill="1" applyBorder="1" applyAlignment="1" applyProtection="1">
      <alignment/>
      <protection/>
    </xf>
    <xf numFmtId="0" fontId="0" fillId="34" borderId="0" xfId="0" applyFill="1" applyBorder="1" applyAlignment="1">
      <alignment/>
    </xf>
    <xf numFmtId="0" fontId="0" fillId="34" borderId="0" xfId="0" applyFill="1" applyBorder="1" applyAlignment="1" applyProtection="1">
      <alignment horizontal="fill"/>
      <protection/>
    </xf>
    <xf numFmtId="0" fontId="0" fillId="34" borderId="0" xfId="0" applyFill="1" applyAlignment="1" applyProtection="1">
      <alignment/>
      <protection/>
    </xf>
    <xf numFmtId="169" fontId="0" fillId="34" borderId="0" xfId="0" applyNumberFormat="1" applyFill="1" applyAlignment="1" applyProtection="1">
      <alignment/>
      <protection/>
    </xf>
    <xf numFmtId="172" fontId="0" fillId="34" borderId="0" xfId="0" applyNumberFormat="1" applyFill="1" applyAlignment="1">
      <alignment/>
    </xf>
    <xf numFmtId="170" fontId="0" fillId="34" borderId="0" xfId="0" applyNumberFormat="1" applyFill="1" applyAlignment="1">
      <alignment/>
    </xf>
    <xf numFmtId="8" fontId="0" fillId="34" borderId="0" xfId="0" applyNumberFormat="1" applyFill="1" applyAlignment="1" applyProtection="1">
      <alignment/>
      <protection/>
    </xf>
    <xf numFmtId="169" fontId="0" fillId="34" borderId="0" xfId="0" applyNumberFormat="1" applyFill="1" applyAlignment="1">
      <alignment/>
    </xf>
    <xf numFmtId="16" fontId="0" fillId="34" borderId="0" xfId="0" applyNumberFormat="1" applyFill="1" applyAlignment="1">
      <alignment/>
    </xf>
    <xf numFmtId="2" fontId="0" fillId="34" borderId="0" xfId="0" applyNumberFormat="1" applyFill="1" applyAlignment="1">
      <alignment/>
    </xf>
    <xf numFmtId="0" fontId="0" fillId="34" borderId="0" xfId="0" applyFont="1" applyFill="1" applyAlignment="1" applyProtection="1">
      <alignment/>
      <protection/>
    </xf>
    <xf numFmtId="168" fontId="13" fillId="34" borderId="0" xfId="0" applyNumberFormat="1" applyFont="1" applyFill="1" applyAlignment="1" applyProtection="1">
      <alignment/>
      <protection hidden="1"/>
    </xf>
    <xf numFmtId="0" fontId="14" fillId="34" borderId="0" xfId="0" applyFont="1" applyFill="1" applyAlignment="1" applyProtection="1" quotePrefix="1">
      <alignment horizontal="left"/>
      <protection/>
    </xf>
    <xf numFmtId="0" fontId="15" fillId="34" borderId="0" xfId="0" applyFont="1" applyFill="1" applyAlignment="1" applyProtection="1" quotePrefix="1">
      <alignment horizontal="left"/>
      <protection/>
    </xf>
    <xf numFmtId="0" fontId="17" fillId="34" borderId="0" xfId="0" applyFont="1" applyFill="1" applyAlignment="1" applyProtection="1" quotePrefix="1">
      <alignment horizontal="left"/>
      <protection/>
    </xf>
    <xf numFmtId="0" fontId="10" fillId="34" borderId="0" xfId="0" applyFont="1" applyFill="1" applyAlignment="1">
      <alignment/>
    </xf>
    <xf numFmtId="0" fontId="7" fillId="34" borderId="0" xfId="0" applyFont="1" applyFill="1" applyAlignment="1">
      <alignment/>
    </xf>
    <xf numFmtId="0" fontId="0" fillId="33" borderId="0" xfId="0" applyNumberFormat="1" applyFill="1" applyAlignment="1">
      <alignment/>
    </xf>
    <xf numFmtId="0" fontId="0" fillId="33" borderId="0" xfId="0" applyFill="1" applyBorder="1" applyAlignment="1">
      <alignment/>
    </xf>
    <xf numFmtId="0" fontId="6" fillId="33" borderId="0" xfId="0" applyFont="1" applyFill="1" applyAlignment="1">
      <alignment/>
    </xf>
    <xf numFmtId="165" fontId="0" fillId="34" borderId="0" xfId="0" applyNumberFormat="1" applyFill="1" applyAlignment="1" applyProtection="1">
      <alignment/>
      <protection hidden="1"/>
    </xf>
    <xf numFmtId="0" fontId="13" fillId="34" borderId="0" xfId="0" applyFont="1" applyFill="1" applyBorder="1" applyAlignment="1" applyProtection="1">
      <alignment horizontal="left"/>
      <protection hidden="1"/>
    </xf>
    <xf numFmtId="0" fontId="14" fillId="34" borderId="0" xfId="0" applyFont="1" applyFill="1" applyBorder="1" applyAlignment="1" quotePrefix="1">
      <alignment horizontal="left"/>
    </xf>
    <xf numFmtId="0" fontId="6" fillId="35" borderId="0" xfId="0" applyFont="1" applyFill="1" applyAlignment="1">
      <alignment/>
    </xf>
    <xf numFmtId="0" fontId="9" fillId="33" borderId="0" xfId="0" applyFont="1" applyFill="1" applyAlignment="1">
      <alignment/>
    </xf>
    <xf numFmtId="0" fontId="5" fillId="33" borderId="0" xfId="0" applyFont="1" applyFill="1" applyAlignment="1">
      <alignment/>
    </xf>
    <xf numFmtId="0" fontId="0" fillId="33" borderId="10" xfId="0" applyFill="1" applyBorder="1" applyAlignment="1">
      <alignment/>
    </xf>
    <xf numFmtId="0" fontId="0" fillId="33" borderId="0" xfId="0" applyNumberFormat="1" applyFill="1" applyBorder="1" applyAlignment="1">
      <alignment/>
    </xf>
    <xf numFmtId="0" fontId="2" fillId="33" borderId="0" xfId="0" applyNumberFormat="1" applyFont="1" applyFill="1" applyBorder="1" applyAlignment="1" applyProtection="1">
      <alignment/>
      <protection locked="0"/>
    </xf>
    <xf numFmtId="0" fontId="0" fillId="33" borderId="0" xfId="0" applyNumberFormat="1" applyFill="1" applyAlignment="1">
      <alignment horizontal="right"/>
    </xf>
    <xf numFmtId="165" fontId="0" fillId="33" borderId="0" xfId="0" applyNumberFormat="1" applyFill="1" applyBorder="1" applyAlignment="1">
      <alignment/>
    </xf>
    <xf numFmtId="0" fontId="0" fillId="0" borderId="0" xfId="0" applyBorder="1" applyAlignment="1">
      <alignment/>
    </xf>
    <xf numFmtId="0" fontId="12" fillId="33" borderId="0" xfId="0" applyNumberFormat="1" applyFont="1" applyFill="1" applyAlignment="1" quotePrefix="1">
      <alignment horizontal="left"/>
    </xf>
    <xf numFmtId="0" fontId="12" fillId="0" borderId="0" xfId="0" applyFont="1" applyAlignment="1">
      <alignment/>
    </xf>
    <xf numFmtId="0" fontId="12" fillId="0" borderId="0" xfId="0" applyFont="1" applyAlignment="1" quotePrefix="1">
      <alignment horizontal="left"/>
    </xf>
    <xf numFmtId="0" fontId="0" fillId="33" borderId="0" xfId="0" applyNumberFormat="1" applyFill="1" applyBorder="1" applyAlignment="1" applyProtection="1">
      <alignment/>
      <protection hidden="1"/>
    </xf>
    <xf numFmtId="165" fontId="0" fillId="33" borderId="0" xfId="0" applyNumberFormat="1" applyFill="1" applyBorder="1" applyAlignment="1" applyProtection="1">
      <alignment/>
      <protection/>
    </xf>
    <xf numFmtId="0" fontId="0" fillId="33" borderId="0" xfId="0" applyNumberFormat="1" applyFill="1" applyBorder="1" applyAlignment="1" applyProtection="1">
      <alignment/>
      <protection/>
    </xf>
    <xf numFmtId="0" fontId="0" fillId="33" borderId="0" xfId="0" applyNumberFormat="1" applyFill="1" applyAlignment="1" applyProtection="1">
      <alignment/>
      <protection/>
    </xf>
    <xf numFmtId="165" fontId="0" fillId="33" borderId="0" xfId="0" applyNumberFormat="1" applyFont="1" applyFill="1" applyBorder="1" applyAlignment="1" applyProtection="1">
      <alignment/>
      <protection hidden="1" locked="0"/>
    </xf>
    <xf numFmtId="165" fontId="0" fillId="33" borderId="0" xfId="0" applyNumberFormat="1" applyFill="1" applyBorder="1" applyAlignment="1" applyProtection="1">
      <alignment/>
      <protection hidden="1"/>
    </xf>
    <xf numFmtId="0" fontId="18" fillId="0" borderId="0" xfId="0" applyFont="1" applyAlignment="1">
      <alignment/>
    </xf>
    <xf numFmtId="0" fontId="19" fillId="0" borderId="0" xfId="0" applyFont="1" applyAlignment="1">
      <alignment/>
    </xf>
    <xf numFmtId="8" fontId="5" fillId="34" borderId="0" xfId="0" applyNumberFormat="1" applyFont="1" applyFill="1" applyAlignment="1" applyProtection="1">
      <alignment/>
      <protection/>
    </xf>
    <xf numFmtId="0" fontId="10" fillId="34" borderId="0" xfId="0" applyFont="1" applyFill="1" applyAlignment="1" applyProtection="1">
      <alignment/>
      <protection/>
    </xf>
    <xf numFmtId="172" fontId="10" fillId="34" borderId="0" xfId="58" applyNumberFormat="1" applyFont="1" applyFill="1" applyAlignment="1">
      <alignment/>
    </xf>
    <xf numFmtId="0" fontId="0" fillId="34" borderId="0" xfId="0" applyFont="1" applyFill="1" applyAlignment="1">
      <alignment/>
    </xf>
    <xf numFmtId="0" fontId="0" fillId="34" borderId="0" xfId="0" applyFill="1" applyBorder="1" applyAlignment="1" applyProtection="1">
      <alignment/>
      <protection/>
    </xf>
    <xf numFmtId="0" fontId="3" fillId="34" borderId="0" xfId="0" applyFont="1" applyFill="1" applyAlignment="1" applyProtection="1">
      <alignment/>
      <protection/>
    </xf>
    <xf numFmtId="0" fontId="16" fillId="34" borderId="0" xfId="0" applyFont="1" applyFill="1" applyAlignment="1" applyProtection="1" quotePrefix="1">
      <alignment/>
      <protection/>
    </xf>
    <xf numFmtId="0" fontId="0" fillId="34" borderId="0" xfId="0" applyFill="1" applyAlignment="1" applyProtection="1" quotePrefix="1">
      <alignment/>
      <protection/>
    </xf>
    <xf numFmtId="0" fontId="0" fillId="34" borderId="0" xfId="0" applyFill="1" applyAlignment="1">
      <alignment/>
    </xf>
    <xf numFmtId="0" fontId="20" fillId="34" borderId="0" xfId="0" applyFont="1" applyFill="1" applyAlignment="1" applyProtection="1" quotePrefix="1">
      <alignment/>
      <protection/>
    </xf>
    <xf numFmtId="0" fontId="0" fillId="34" borderId="0" xfId="0" applyFill="1" applyBorder="1" applyAlignment="1" applyProtection="1" quotePrefix="1">
      <alignment/>
      <protection/>
    </xf>
    <xf numFmtId="167" fontId="0" fillId="34" borderId="0" xfId="0" applyNumberFormat="1" applyFill="1" applyAlignment="1" applyProtection="1" quotePrefix="1">
      <alignment/>
      <protection/>
    </xf>
    <xf numFmtId="168" fontId="5" fillId="34" borderId="0" xfId="0" applyNumberFormat="1" applyFont="1" applyFill="1" applyAlignment="1" applyProtection="1">
      <alignment/>
      <protection/>
    </xf>
    <xf numFmtId="165" fontId="0" fillId="34" borderId="0" xfId="0" applyNumberFormat="1" applyFill="1" applyAlignment="1" applyProtection="1">
      <alignment horizontal="left"/>
      <protection/>
    </xf>
    <xf numFmtId="0" fontId="5" fillId="33" borderId="0" xfId="0" applyFont="1" applyFill="1" applyAlignment="1" applyProtection="1" quotePrefix="1">
      <alignment/>
      <protection/>
    </xf>
    <xf numFmtId="0" fontId="0" fillId="33" borderId="0" xfId="0" applyNumberFormat="1" applyFill="1" applyBorder="1" applyAlignment="1" applyProtection="1" quotePrefix="1">
      <alignment/>
      <protection hidden="1"/>
    </xf>
    <xf numFmtId="44" fontId="5" fillId="33" borderId="0" xfId="44" applyFont="1" applyFill="1" applyAlignment="1" applyProtection="1" quotePrefix="1">
      <alignment/>
      <protection/>
    </xf>
    <xf numFmtId="0" fontId="0" fillId="33" borderId="0" xfId="0" applyNumberFormat="1" applyFill="1" applyBorder="1" applyAlignment="1" applyProtection="1">
      <alignment/>
      <protection hidden="1" locked="0"/>
    </xf>
    <xf numFmtId="0" fontId="0" fillId="33" borderId="0" xfId="0" applyNumberFormat="1" applyFill="1" applyAlignment="1" applyProtection="1">
      <alignment/>
      <protection locked="0"/>
    </xf>
    <xf numFmtId="0" fontId="0" fillId="36" borderId="0" xfId="0" applyNumberFormat="1" applyFill="1" applyAlignment="1">
      <alignment/>
    </xf>
    <xf numFmtId="0" fontId="23" fillId="0" borderId="0" xfId="0" applyFont="1" applyAlignment="1">
      <alignment/>
    </xf>
    <xf numFmtId="0" fontId="23" fillId="0" borderId="0" xfId="0" applyFont="1" applyAlignment="1" quotePrefix="1">
      <alignment horizontal="left"/>
    </xf>
    <xf numFmtId="0" fontId="23" fillId="0" borderId="0" xfId="0" applyFont="1" applyAlignment="1">
      <alignment horizontal="left"/>
    </xf>
    <xf numFmtId="0" fontId="24" fillId="0" borderId="0" xfId="0" applyFont="1" applyAlignment="1" quotePrefix="1">
      <alignment horizontal="left"/>
    </xf>
    <xf numFmtId="0" fontId="23" fillId="0" borderId="0" xfId="0" applyFont="1" applyBorder="1" applyAlignment="1">
      <alignment/>
    </xf>
    <xf numFmtId="0" fontId="23" fillId="0" borderId="0" xfId="0" applyFont="1" applyBorder="1" applyAlignment="1" quotePrefix="1">
      <alignment/>
    </xf>
    <xf numFmtId="0" fontId="24" fillId="0" borderId="0" xfId="0" applyFont="1" applyBorder="1" applyAlignment="1" quotePrefix="1">
      <alignment horizontal="left"/>
    </xf>
    <xf numFmtId="0" fontId="23" fillId="0" borderId="0" xfId="0" applyFont="1" applyBorder="1" applyAlignment="1" quotePrefix="1">
      <alignment horizontal="left"/>
    </xf>
    <xf numFmtId="0" fontId="23" fillId="0" borderId="0" xfId="0" applyFont="1" applyBorder="1" applyAlignment="1">
      <alignment horizontal="left"/>
    </xf>
    <xf numFmtId="0" fontId="24" fillId="0" borderId="0" xfId="0" applyFont="1" applyAlignment="1">
      <alignment/>
    </xf>
    <xf numFmtId="0" fontId="24" fillId="0" borderId="0" xfId="0" applyFont="1" applyAlignment="1">
      <alignment horizontal="left"/>
    </xf>
    <xf numFmtId="0" fontId="26" fillId="33" borderId="0" xfId="0" applyFont="1" applyFill="1" applyAlignment="1">
      <alignment/>
    </xf>
    <xf numFmtId="1" fontId="26" fillId="33" borderId="0" xfId="0" applyNumberFormat="1" applyFont="1" applyFill="1" applyAlignment="1" applyProtection="1">
      <alignment/>
      <protection/>
    </xf>
    <xf numFmtId="0" fontId="23" fillId="33" borderId="0" xfId="0" applyFont="1" applyFill="1" applyAlignment="1">
      <alignment/>
    </xf>
    <xf numFmtId="43" fontId="27" fillId="33" borderId="0" xfId="42" applyFont="1" applyFill="1" applyBorder="1" applyAlignment="1" applyProtection="1" quotePrefix="1">
      <alignment horizontal="center"/>
      <protection locked="0"/>
    </xf>
    <xf numFmtId="1" fontId="26" fillId="33" borderId="0" xfId="0" applyNumberFormat="1" applyFont="1" applyFill="1" applyAlignment="1" applyProtection="1">
      <alignment horizontal="right"/>
      <protection/>
    </xf>
    <xf numFmtId="0" fontId="23" fillId="33" borderId="10" xfId="0" applyFont="1" applyFill="1" applyBorder="1" applyAlignment="1">
      <alignment/>
    </xf>
    <xf numFmtId="0" fontId="23" fillId="33" borderId="0" xfId="0" applyNumberFormat="1" applyFont="1" applyFill="1" applyAlignment="1">
      <alignment/>
    </xf>
    <xf numFmtId="0" fontId="23" fillId="36" borderId="0" xfId="0" applyNumberFormat="1" applyFont="1" applyFill="1" applyAlignment="1">
      <alignment/>
    </xf>
    <xf numFmtId="0" fontId="26" fillId="33" borderId="0" xfId="0" applyFont="1" applyFill="1" applyAlignment="1" applyProtection="1" quotePrefix="1">
      <alignment/>
      <protection/>
    </xf>
    <xf numFmtId="4" fontId="28" fillId="33" borderId="0" xfId="0" applyNumberFormat="1" applyFont="1" applyFill="1" applyAlignment="1" applyProtection="1">
      <alignment/>
      <protection locked="0"/>
    </xf>
    <xf numFmtId="44" fontId="29" fillId="0" borderId="0" xfId="44" applyFont="1" applyFill="1" applyBorder="1" applyAlignment="1" applyProtection="1" quotePrefix="1">
      <alignment/>
      <protection hidden="1"/>
    </xf>
    <xf numFmtId="43" fontId="26" fillId="33" borderId="0" xfId="42" applyFont="1" applyFill="1" applyAlignment="1" applyProtection="1">
      <alignment/>
      <protection locked="0"/>
    </xf>
    <xf numFmtId="0" fontId="23" fillId="33" borderId="0" xfId="0" applyFont="1" applyFill="1" applyAlignment="1" quotePrefix="1">
      <alignment/>
    </xf>
    <xf numFmtId="0" fontId="29" fillId="34" borderId="0" xfId="0" applyNumberFormat="1" applyFont="1" applyFill="1" applyAlignment="1" applyProtection="1">
      <alignment/>
      <protection locked="0"/>
    </xf>
    <xf numFmtId="20" fontId="26" fillId="33" borderId="0" xfId="0" applyNumberFormat="1" applyFont="1" applyFill="1" applyAlignment="1" applyProtection="1" quotePrefix="1">
      <alignment/>
      <protection/>
    </xf>
    <xf numFmtId="0" fontId="28" fillId="33" borderId="0" xfId="42" applyNumberFormat="1" applyFont="1" applyFill="1" applyAlignment="1" applyProtection="1">
      <alignment/>
      <protection locked="0"/>
    </xf>
    <xf numFmtId="0" fontId="26" fillId="33" borderId="0" xfId="0" applyFont="1" applyFill="1" applyAlignment="1" quotePrefix="1">
      <alignment horizontal="center"/>
    </xf>
    <xf numFmtId="0" fontId="23" fillId="33" borderId="0" xfId="0" applyNumberFormat="1" applyFont="1" applyFill="1" applyAlignment="1">
      <alignment/>
    </xf>
    <xf numFmtId="0" fontId="23" fillId="33" borderId="0" xfId="0" applyNumberFormat="1" applyFont="1" applyFill="1" applyAlignment="1" applyProtection="1">
      <alignment/>
      <protection/>
    </xf>
    <xf numFmtId="44" fontId="29" fillId="0" borderId="0" xfId="44" applyNumberFormat="1" applyFont="1" applyFill="1" applyAlignment="1" applyProtection="1">
      <alignment/>
      <protection/>
    </xf>
    <xf numFmtId="0" fontId="26" fillId="33" borderId="0" xfId="42" applyNumberFormat="1" applyFont="1" applyFill="1" applyAlignment="1" applyProtection="1">
      <alignment/>
      <protection locked="0"/>
    </xf>
    <xf numFmtId="165" fontId="23" fillId="33" borderId="0" xfId="0" applyNumberFormat="1" applyFont="1" applyFill="1" applyAlignment="1" applyProtection="1" quotePrefix="1">
      <alignment horizontal="left"/>
      <protection hidden="1"/>
    </xf>
    <xf numFmtId="0" fontId="23" fillId="33" borderId="0" xfId="0" applyNumberFormat="1" applyFont="1" applyFill="1" applyAlignment="1" applyProtection="1">
      <alignment/>
      <protection hidden="1"/>
    </xf>
    <xf numFmtId="0" fontId="23" fillId="33" borderId="0" xfId="0" applyNumberFormat="1" applyFont="1" applyFill="1" applyAlignment="1" applyProtection="1">
      <alignment/>
      <protection hidden="1"/>
    </xf>
    <xf numFmtId="0" fontId="26" fillId="33" borderId="0" xfId="0" applyFont="1" applyFill="1" applyAlignment="1" applyProtection="1">
      <alignment/>
      <protection/>
    </xf>
    <xf numFmtId="165" fontId="26" fillId="33" borderId="0" xfId="0" applyNumberFormat="1" applyFont="1" applyFill="1" applyAlignment="1">
      <alignment/>
    </xf>
    <xf numFmtId="0" fontId="28" fillId="33" borderId="0" xfId="42" applyNumberFormat="1" applyFont="1" applyFill="1" applyAlignment="1" applyProtection="1">
      <alignment/>
      <protection locked="0"/>
    </xf>
    <xf numFmtId="0" fontId="23" fillId="33" borderId="0" xfId="0" applyNumberFormat="1" applyFont="1" applyFill="1" applyAlignment="1" quotePrefix="1">
      <alignment/>
    </xf>
    <xf numFmtId="4" fontId="12" fillId="33" borderId="0" xfId="0" applyNumberFormat="1" applyFont="1" applyFill="1" applyAlignment="1" applyProtection="1">
      <alignment/>
      <protection hidden="1"/>
    </xf>
    <xf numFmtId="44" fontId="23" fillId="33" borderId="0" xfId="0" applyNumberFormat="1" applyFont="1" applyFill="1" applyAlignment="1" applyProtection="1">
      <alignment/>
      <protection hidden="1"/>
    </xf>
    <xf numFmtId="0" fontId="26" fillId="33" borderId="0" xfId="0" applyFont="1" applyFill="1" applyAlignment="1">
      <alignment horizontal="center"/>
    </xf>
    <xf numFmtId="44" fontId="26" fillId="33" borderId="0" xfId="42" applyNumberFormat="1" applyFont="1" applyFill="1" applyAlignment="1" applyProtection="1">
      <alignment/>
      <protection locked="0"/>
    </xf>
    <xf numFmtId="0" fontId="29" fillId="33" borderId="0" xfId="0" applyFont="1" applyFill="1" applyAlignment="1" applyProtection="1">
      <alignment/>
      <protection/>
    </xf>
    <xf numFmtId="43" fontId="26" fillId="33" borderId="0" xfId="42" applyFont="1" applyFill="1" applyAlignment="1" applyProtection="1">
      <alignment/>
      <protection/>
    </xf>
    <xf numFmtId="0" fontId="22" fillId="33" borderId="0" xfId="0" applyFont="1" applyFill="1" applyAlignment="1">
      <alignment/>
    </xf>
    <xf numFmtId="0" fontId="30" fillId="33" borderId="0" xfId="0" applyNumberFormat="1" applyFont="1" applyFill="1" applyAlignment="1">
      <alignment/>
    </xf>
    <xf numFmtId="0" fontId="29" fillId="33" borderId="11" xfId="0" applyFont="1" applyFill="1" applyBorder="1" applyAlignment="1" applyProtection="1">
      <alignment/>
      <protection/>
    </xf>
    <xf numFmtId="0" fontId="31" fillId="33" borderId="11" xfId="0" applyFont="1" applyFill="1" applyBorder="1" applyAlignment="1">
      <alignment/>
    </xf>
    <xf numFmtId="0" fontId="31" fillId="33" borderId="11" xfId="0" applyFont="1" applyFill="1" applyBorder="1" applyAlignment="1">
      <alignment/>
    </xf>
    <xf numFmtId="0" fontId="23" fillId="33" borderId="11" xfId="0" applyFont="1" applyFill="1" applyBorder="1" applyAlignment="1">
      <alignment/>
    </xf>
    <xf numFmtId="43" fontId="31" fillId="33" borderId="11" xfId="42" applyFont="1" applyFill="1" applyBorder="1" applyAlignment="1" applyProtection="1">
      <alignment/>
      <protection/>
    </xf>
    <xf numFmtId="0" fontId="23" fillId="33" borderId="12" xfId="0" applyFont="1" applyFill="1" applyBorder="1" applyAlignment="1">
      <alignment/>
    </xf>
    <xf numFmtId="0" fontId="32" fillId="37" borderId="0" xfId="0" applyFont="1" applyFill="1" applyBorder="1" applyAlignment="1" applyProtection="1">
      <alignment/>
      <protection/>
    </xf>
    <xf numFmtId="0" fontId="22" fillId="37" borderId="0" xfId="0" applyFont="1" applyFill="1" applyBorder="1" applyAlignment="1" quotePrefix="1">
      <alignment horizontal="right"/>
    </xf>
    <xf numFmtId="0" fontId="23" fillId="37" borderId="0" xfId="0" applyFont="1" applyFill="1" applyBorder="1" applyAlignment="1">
      <alignment horizontal="right"/>
    </xf>
    <xf numFmtId="0" fontId="22" fillId="37" borderId="0" xfId="0" applyFont="1" applyFill="1" applyBorder="1" applyAlignment="1" applyProtection="1" quotePrefix="1">
      <alignment horizontal="right"/>
      <protection/>
    </xf>
    <xf numFmtId="2" fontId="22" fillId="37" borderId="0" xfId="0" applyNumberFormat="1" applyFont="1" applyFill="1" applyBorder="1" applyAlignment="1" quotePrefix="1">
      <alignment horizontal="right"/>
    </xf>
    <xf numFmtId="0" fontId="23" fillId="37" borderId="0" xfId="0" applyFont="1" applyFill="1" applyBorder="1" applyAlignment="1">
      <alignment/>
    </xf>
    <xf numFmtId="0" fontId="23" fillId="37" borderId="10" xfId="0" applyFont="1" applyFill="1" applyBorder="1" applyAlignment="1">
      <alignment/>
    </xf>
    <xf numFmtId="0" fontId="23" fillId="37" borderId="0" xfId="0" applyFont="1" applyFill="1" applyAlignment="1">
      <alignment/>
    </xf>
    <xf numFmtId="0" fontId="23" fillId="37" borderId="0" xfId="0" applyNumberFormat="1" applyFont="1" applyFill="1" applyAlignment="1">
      <alignment/>
    </xf>
    <xf numFmtId="0" fontId="23" fillId="37" borderId="0" xfId="0" applyNumberFormat="1" applyFont="1" applyFill="1" applyAlignment="1">
      <alignment horizontal="right"/>
    </xf>
    <xf numFmtId="0" fontId="22" fillId="37" borderId="13" xfId="0" applyFont="1" applyFill="1" applyBorder="1" applyAlignment="1" applyProtection="1" quotePrefix="1">
      <alignment horizontal="right"/>
      <protection/>
    </xf>
    <xf numFmtId="0" fontId="22" fillId="37" borderId="13" xfId="0" applyFont="1" applyFill="1" applyBorder="1" applyAlignment="1" quotePrefix="1">
      <alignment horizontal="right"/>
    </xf>
    <xf numFmtId="0" fontId="23" fillId="37" borderId="13" xfId="0" applyFont="1" applyFill="1" applyBorder="1" applyAlignment="1">
      <alignment/>
    </xf>
    <xf numFmtId="0" fontId="23" fillId="37" borderId="14" xfId="0" applyFont="1" applyFill="1" applyBorder="1" applyAlignment="1">
      <alignment/>
    </xf>
    <xf numFmtId="0" fontId="23" fillId="37" borderId="0" xfId="0" applyNumberFormat="1" applyFont="1" applyFill="1" applyAlignment="1" quotePrefix="1">
      <alignment horizontal="right"/>
    </xf>
    <xf numFmtId="165" fontId="22" fillId="35" borderId="0" xfId="0" applyNumberFormat="1" applyFont="1" applyFill="1" applyAlignment="1" applyProtection="1">
      <alignment/>
      <protection hidden="1"/>
    </xf>
    <xf numFmtId="165" fontId="33" fillId="35" borderId="0" xfId="42" applyNumberFormat="1" applyFont="1" applyFill="1" applyAlignment="1" applyProtection="1" quotePrefix="1">
      <alignment/>
      <protection hidden="1"/>
    </xf>
    <xf numFmtId="165" fontId="22" fillId="35" borderId="0" xfId="42" applyNumberFormat="1" applyFont="1" applyFill="1" applyBorder="1" applyAlignment="1" applyProtection="1">
      <alignment horizontal="right"/>
      <protection hidden="1"/>
    </xf>
    <xf numFmtId="165" fontId="22" fillId="35" borderId="0" xfId="0" applyNumberFormat="1" applyFont="1" applyFill="1" applyAlignment="1" applyProtection="1" quotePrefix="1">
      <alignment/>
      <protection hidden="1"/>
    </xf>
    <xf numFmtId="0" fontId="22" fillId="35" borderId="0" xfId="0" applyFont="1" applyFill="1" applyAlignment="1" applyProtection="1">
      <alignment/>
      <protection hidden="1"/>
    </xf>
    <xf numFmtId="0" fontId="31" fillId="35" borderId="10" xfId="0" applyFont="1" applyFill="1" applyBorder="1" applyAlignment="1">
      <alignment/>
    </xf>
    <xf numFmtId="165" fontId="23" fillId="33" borderId="0" xfId="0" applyNumberFormat="1" applyFont="1" applyFill="1" applyAlignment="1">
      <alignment/>
    </xf>
    <xf numFmtId="0" fontId="34" fillId="35" borderId="0" xfId="0" applyFont="1" applyFill="1" applyAlignment="1" applyProtection="1">
      <alignment/>
      <protection/>
    </xf>
    <xf numFmtId="40" fontId="34" fillId="35" borderId="0" xfId="42" applyNumberFormat="1" applyFont="1" applyFill="1" applyAlignment="1" applyProtection="1">
      <alignment/>
      <protection/>
    </xf>
    <xf numFmtId="40" fontId="34" fillId="35" borderId="0" xfId="42" applyNumberFormat="1" applyFont="1" applyFill="1" applyBorder="1" applyAlignment="1" applyProtection="1">
      <alignment/>
      <protection/>
    </xf>
    <xf numFmtId="40" fontId="35" fillId="35" borderId="0" xfId="42" applyNumberFormat="1" applyFont="1" applyFill="1" applyAlignment="1" applyProtection="1">
      <alignment/>
      <protection locked="0"/>
    </xf>
    <xf numFmtId="0" fontId="31" fillId="35" borderId="0" xfId="0" applyFont="1" applyFill="1" applyAlignment="1">
      <alignment/>
    </xf>
    <xf numFmtId="40" fontId="23" fillId="33" borderId="0" xfId="0" applyNumberFormat="1" applyFont="1" applyFill="1" applyAlignment="1">
      <alignment/>
    </xf>
    <xf numFmtId="0" fontId="23" fillId="33" borderId="0" xfId="0" applyNumberFormat="1" applyFont="1" applyFill="1" applyAlignment="1" applyProtection="1">
      <alignment/>
      <protection locked="0"/>
    </xf>
    <xf numFmtId="0" fontId="34" fillId="35" borderId="0" xfId="0" applyFont="1" applyFill="1" applyBorder="1" applyAlignment="1" applyProtection="1">
      <alignment/>
      <protection/>
    </xf>
    <xf numFmtId="40" fontId="34" fillId="35" borderId="0" xfId="42" applyNumberFormat="1" applyFont="1" applyFill="1" applyBorder="1" applyAlignment="1" applyProtection="1">
      <alignment/>
      <protection/>
    </xf>
    <xf numFmtId="0" fontId="23" fillId="33" borderId="0" xfId="0" applyFont="1" applyFill="1" applyAlignment="1" applyProtection="1">
      <alignment/>
      <protection locked="0"/>
    </xf>
    <xf numFmtId="0" fontId="23" fillId="36" borderId="0" xfId="0" applyFont="1" applyFill="1" applyAlignment="1">
      <alignment/>
    </xf>
    <xf numFmtId="0" fontId="31" fillId="35" borderId="0" xfId="0" applyFont="1" applyFill="1" applyAlignment="1" applyProtection="1">
      <alignment horizontal="fill"/>
      <protection/>
    </xf>
    <xf numFmtId="0" fontId="31" fillId="35" borderId="0" xfId="0" applyFont="1" applyFill="1" applyAlignment="1" applyProtection="1">
      <alignment/>
      <protection/>
    </xf>
    <xf numFmtId="0" fontId="31" fillId="35" borderId="0" xfId="0" applyFont="1" applyFill="1" applyAlignment="1" applyProtection="1">
      <alignment horizontal="left"/>
      <protection/>
    </xf>
    <xf numFmtId="0" fontId="34" fillId="35" borderId="0" xfId="0" applyFont="1" applyFill="1" applyBorder="1" applyAlignment="1" applyProtection="1" quotePrefix="1">
      <alignment/>
      <protection/>
    </xf>
    <xf numFmtId="40" fontId="31" fillId="35" borderId="0" xfId="42" applyNumberFormat="1" applyFont="1" applyFill="1" applyBorder="1" applyAlignment="1" applyProtection="1">
      <alignment/>
      <protection/>
    </xf>
    <xf numFmtId="0" fontId="31" fillId="35" borderId="0" xfId="0" applyFont="1" applyFill="1" applyBorder="1" applyAlignment="1">
      <alignment/>
    </xf>
    <xf numFmtId="0" fontId="31" fillId="33" borderId="0" xfId="0" applyFont="1" applyFill="1" applyAlignment="1">
      <alignment/>
    </xf>
    <xf numFmtId="0" fontId="23" fillId="34" borderId="0" xfId="0" applyFont="1" applyFill="1" applyAlignment="1">
      <alignment/>
    </xf>
    <xf numFmtId="0" fontId="23" fillId="34" borderId="0" xfId="0" applyFont="1" applyFill="1" applyAlignment="1">
      <alignment/>
    </xf>
    <xf numFmtId="1" fontId="36" fillId="34" borderId="0" xfId="0" applyNumberFormat="1" applyFont="1" applyFill="1" applyAlignment="1" applyProtection="1">
      <alignment horizontal="right"/>
      <protection/>
    </xf>
    <xf numFmtId="0" fontId="23" fillId="34" borderId="0" xfId="0" applyFont="1" applyFill="1" applyAlignment="1" applyProtection="1" quotePrefix="1">
      <alignment/>
      <protection/>
    </xf>
    <xf numFmtId="0" fontId="23" fillId="34" borderId="0" xfId="0" applyFont="1" applyFill="1" applyAlignment="1" applyProtection="1">
      <alignment/>
      <protection/>
    </xf>
    <xf numFmtId="0" fontId="37" fillId="34" borderId="0" xfId="0" applyFont="1" applyFill="1" applyAlignment="1">
      <alignment horizontal="right"/>
    </xf>
    <xf numFmtId="4" fontId="28" fillId="34" borderId="0" xfId="0" applyNumberFormat="1" applyFont="1" applyFill="1" applyAlignment="1" applyProtection="1">
      <alignment/>
      <protection locked="0"/>
    </xf>
    <xf numFmtId="4" fontId="28" fillId="34" borderId="0" xfId="42" applyNumberFormat="1" applyFont="1" applyFill="1" applyAlignment="1" applyProtection="1">
      <alignment/>
      <protection locked="0"/>
    </xf>
    <xf numFmtId="0" fontId="28" fillId="34" borderId="0" xfId="42" applyNumberFormat="1" applyFont="1" applyFill="1" applyAlignment="1" applyProtection="1">
      <alignment/>
      <protection locked="0"/>
    </xf>
    <xf numFmtId="0" fontId="28" fillId="34" borderId="0" xfId="42" applyNumberFormat="1" applyFont="1" applyFill="1" applyAlignment="1" applyProtection="1">
      <alignment/>
      <protection locked="0"/>
    </xf>
    <xf numFmtId="0" fontId="29" fillId="34" borderId="13" xfId="0" applyFont="1" applyFill="1" applyBorder="1" applyAlignment="1" applyProtection="1" quotePrefix="1">
      <alignment/>
      <protection/>
    </xf>
    <xf numFmtId="0" fontId="23" fillId="34" borderId="13" xfId="0" applyFont="1" applyFill="1" applyBorder="1" applyAlignment="1">
      <alignment/>
    </xf>
    <xf numFmtId="0" fontId="23" fillId="34" borderId="13" xfId="0" applyFont="1" applyFill="1" applyBorder="1" applyAlignment="1" applyProtection="1" quotePrefix="1">
      <alignment horizontal="fill"/>
      <protection/>
    </xf>
    <xf numFmtId="0" fontId="23" fillId="34" borderId="13" xfId="0" applyFont="1" applyFill="1" applyBorder="1" applyAlignment="1" applyProtection="1">
      <alignment horizontal="fill"/>
      <protection/>
    </xf>
    <xf numFmtId="43" fontId="23" fillId="34" borderId="13" xfId="42" applyFont="1" applyFill="1" applyBorder="1" applyAlignment="1" applyProtection="1">
      <alignment horizontal="fill"/>
      <protection/>
    </xf>
    <xf numFmtId="0" fontId="12" fillId="34" borderId="0" xfId="0" applyFont="1" applyFill="1" applyBorder="1" applyAlignment="1" applyProtection="1">
      <alignment horizontal="left"/>
      <protection/>
    </xf>
    <xf numFmtId="0" fontId="23" fillId="34" borderId="0" xfId="0" applyFont="1" applyFill="1" applyBorder="1" applyAlignment="1" applyProtection="1">
      <alignment/>
      <protection/>
    </xf>
    <xf numFmtId="0" fontId="23" fillId="34" borderId="0" xfId="0" applyFont="1" applyFill="1" applyBorder="1" applyAlignment="1">
      <alignment/>
    </xf>
    <xf numFmtId="8" fontId="12" fillId="34" borderId="0" xfId="42" applyNumberFormat="1" applyFont="1" applyFill="1" applyBorder="1" applyAlignment="1" applyProtection="1">
      <alignment/>
      <protection/>
    </xf>
    <xf numFmtId="0" fontId="12" fillId="34" borderId="13" xfId="0" applyFont="1" applyFill="1" applyBorder="1" applyAlignment="1" applyProtection="1">
      <alignment horizontal="left"/>
      <protection/>
    </xf>
    <xf numFmtId="0" fontId="23" fillId="34" borderId="13" xfId="0" applyFont="1" applyFill="1" applyBorder="1" applyAlignment="1" applyProtection="1">
      <alignment horizontal="left"/>
      <protection/>
    </xf>
    <xf numFmtId="8" fontId="12" fillId="34" borderId="13" xfId="42" applyNumberFormat="1" applyFont="1" applyFill="1" applyBorder="1" applyAlignment="1" applyProtection="1">
      <alignment/>
      <protection/>
    </xf>
    <xf numFmtId="0" fontId="12" fillId="34" borderId="0" xfId="0" applyFont="1" applyFill="1" applyBorder="1" applyAlignment="1" applyProtection="1">
      <alignment/>
      <protection/>
    </xf>
    <xf numFmtId="0" fontId="23" fillId="34" borderId="0" xfId="0" applyFont="1" applyFill="1" applyBorder="1" applyAlignment="1" applyProtection="1" quotePrefix="1">
      <alignment horizontal="fill"/>
      <protection/>
    </xf>
    <xf numFmtId="0" fontId="23" fillId="34" borderId="0" xfId="0" applyFont="1" applyFill="1" applyBorder="1" applyAlignment="1" applyProtection="1">
      <alignment horizontal="fill"/>
      <protection/>
    </xf>
    <xf numFmtId="43" fontId="23" fillId="34" borderId="0" xfId="42" applyFont="1" applyFill="1" applyBorder="1" applyAlignment="1" applyProtection="1">
      <alignment horizontal="fill"/>
      <protection/>
    </xf>
    <xf numFmtId="0" fontId="23" fillId="34" borderId="0" xfId="0" applyFont="1" applyFill="1" applyBorder="1" applyAlignment="1" applyProtection="1">
      <alignment horizontal="left"/>
      <protection/>
    </xf>
    <xf numFmtId="43" fontId="23" fillId="34" borderId="0" xfId="42" applyFont="1" applyFill="1" applyBorder="1" applyAlignment="1">
      <alignment/>
    </xf>
    <xf numFmtId="40" fontId="12" fillId="34" borderId="0" xfId="42" applyNumberFormat="1" applyFont="1" applyFill="1" applyBorder="1" applyAlignment="1" applyProtection="1">
      <alignment/>
      <protection/>
    </xf>
    <xf numFmtId="0" fontId="0" fillId="34" borderId="0" xfId="0" applyFont="1" applyFill="1" applyAlignment="1">
      <alignment/>
    </xf>
    <xf numFmtId="40" fontId="23" fillId="34" borderId="0" xfId="0" applyNumberFormat="1" applyFont="1" applyFill="1" applyAlignment="1">
      <alignment/>
    </xf>
    <xf numFmtId="43" fontId="23" fillId="34" borderId="0" xfId="42" applyFont="1" applyFill="1" applyAlignment="1">
      <alignment horizontal="right"/>
    </xf>
    <xf numFmtId="43" fontId="23" fillId="34" borderId="0" xfId="42" applyFont="1" applyFill="1" applyAlignment="1">
      <alignment/>
    </xf>
    <xf numFmtId="0" fontId="28" fillId="34" borderId="0" xfId="58" applyNumberFormat="1" applyFont="1" applyFill="1" applyAlignment="1" applyProtection="1">
      <alignment/>
      <protection locked="0"/>
    </xf>
    <xf numFmtId="0" fontId="28" fillId="34" borderId="0" xfId="0" applyFont="1" applyFill="1" applyAlignment="1" applyProtection="1">
      <alignment/>
      <protection locked="0"/>
    </xf>
    <xf numFmtId="0" fontId="12" fillId="34" borderId="0" xfId="0" applyFont="1" applyFill="1" applyAlignment="1" applyProtection="1">
      <alignment/>
      <protection/>
    </xf>
    <xf numFmtId="0" fontId="23" fillId="34" borderId="0" xfId="0" applyFont="1" applyFill="1" applyAlignment="1" applyProtection="1">
      <alignment horizontal="fill"/>
      <protection/>
    </xf>
    <xf numFmtId="0" fontId="38" fillId="34" borderId="0" xfId="0" applyFont="1" applyFill="1" applyAlignment="1" applyProtection="1">
      <alignment horizontal="fill"/>
      <protection/>
    </xf>
    <xf numFmtId="0" fontId="12" fillId="34" borderId="0" xfId="0" applyFont="1" applyFill="1" applyAlignment="1">
      <alignment/>
    </xf>
    <xf numFmtId="0" fontId="12" fillId="34" borderId="0" xfId="0" applyFont="1" applyFill="1" applyAlignment="1" applyProtection="1" quotePrefix="1">
      <alignment/>
      <protection/>
    </xf>
    <xf numFmtId="0" fontId="23" fillId="34" borderId="0" xfId="0" applyFont="1" applyFill="1" applyAlignment="1">
      <alignment horizontal="center"/>
    </xf>
    <xf numFmtId="165" fontId="39" fillId="34" borderId="0" xfId="0" applyNumberFormat="1" applyFont="1" applyFill="1" applyAlignment="1" applyProtection="1">
      <alignment/>
      <protection hidden="1"/>
    </xf>
    <xf numFmtId="0" fontId="23" fillId="34" borderId="0" xfId="0" applyFont="1" applyFill="1" applyAlignment="1" applyProtection="1">
      <alignment/>
      <protection/>
    </xf>
    <xf numFmtId="0" fontId="29" fillId="34" borderId="0" xfId="0" applyFont="1" applyFill="1" applyAlignment="1">
      <alignment/>
    </xf>
    <xf numFmtId="165" fontId="23" fillId="34" borderId="0" xfId="0" applyNumberFormat="1" applyFont="1" applyFill="1" applyAlignment="1" applyProtection="1">
      <alignment/>
      <protection/>
    </xf>
    <xf numFmtId="0" fontId="23" fillId="34" borderId="0" xfId="0" applyFont="1" applyFill="1" applyAlignment="1">
      <alignment horizontal="right"/>
    </xf>
    <xf numFmtId="4" fontId="12" fillId="34" borderId="0" xfId="42" applyNumberFormat="1" applyFont="1" applyFill="1" applyAlignment="1" applyProtection="1" quotePrefix="1">
      <alignment horizontal="right"/>
      <protection/>
    </xf>
    <xf numFmtId="165" fontId="30" fillId="34" borderId="0" xfId="0" applyNumberFormat="1" applyFont="1" applyFill="1" applyAlignment="1" applyProtection="1">
      <alignment/>
      <protection/>
    </xf>
    <xf numFmtId="4" fontId="12" fillId="34" borderId="0" xfId="42" applyNumberFormat="1" applyFont="1" applyFill="1" applyAlignment="1" applyProtection="1">
      <alignment horizontal="right"/>
      <protection/>
    </xf>
    <xf numFmtId="174" fontId="12" fillId="34" borderId="0" xfId="0" applyNumberFormat="1" applyFont="1" applyFill="1" applyAlignment="1" applyProtection="1">
      <alignment horizontal="right"/>
      <protection/>
    </xf>
    <xf numFmtId="4" fontId="12" fillId="34" borderId="0" xfId="0" applyNumberFormat="1" applyFont="1" applyFill="1" applyAlignment="1" applyProtection="1">
      <alignment horizontal="right"/>
      <protection/>
    </xf>
    <xf numFmtId="8" fontId="23" fillId="34" borderId="0" xfId="42" applyNumberFormat="1" applyFont="1" applyFill="1" applyAlignment="1" applyProtection="1">
      <alignment horizontal="center"/>
      <protection/>
    </xf>
    <xf numFmtId="0" fontId="22" fillId="34" borderId="0" xfId="0" applyFont="1" applyFill="1" applyAlignment="1" applyProtection="1" quotePrefix="1">
      <alignment horizontal="left"/>
      <protection/>
    </xf>
    <xf numFmtId="4" fontId="28" fillId="34" borderId="0" xfId="0" applyNumberFormat="1" applyFont="1" applyFill="1" applyAlignment="1" applyProtection="1" quotePrefix="1">
      <alignment/>
      <protection locked="0"/>
    </xf>
    <xf numFmtId="0" fontId="26" fillId="34" borderId="0" xfId="0" applyNumberFormat="1" applyFont="1" applyFill="1" applyAlignment="1" applyProtection="1" quotePrefix="1">
      <alignment/>
      <protection/>
    </xf>
    <xf numFmtId="0" fontId="23" fillId="34" borderId="0" xfId="0" applyFont="1" applyFill="1" applyAlignment="1" applyProtection="1" quotePrefix="1">
      <alignment horizontal="left"/>
      <protection/>
    </xf>
    <xf numFmtId="0" fontId="28" fillId="34" borderId="0" xfId="0" applyNumberFormat="1" applyFont="1" applyFill="1" applyAlignment="1" applyProtection="1" quotePrefix="1">
      <alignment/>
      <protection locked="0"/>
    </xf>
    <xf numFmtId="0" fontId="12" fillId="34" borderId="0" xfId="0" applyFont="1" applyFill="1" applyAlignment="1" applyProtection="1">
      <alignment horizontal="left"/>
      <protection/>
    </xf>
    <xf numFmtId="0" fontId="28" fillId="34" borderId="0" xfId="0" applyNumberFormat="1" applyFont="1" applyFill="1" applyAlignment="1" applyProtection="1">
      <alignment/>
      <protection locked="0"/>
    </xf>
    <xf numFmtId="0" fontId="12" fillId="34" borderId="0" xfId="0" applyFont="1" applyFill="1" applyAlignment="1" applyProtection="1" quotePrefix="1">
      <alignment horizontal="left"/>
      <protection/>
    </xf>
    <xf numFmtId="4" fontId="28" fillId="34" borderId="0" xfId="42" applyNumberFormat="1" applyFont="1" applyFill="1" applyAlignment="1" applyProtection="1" quotePrefix="1">
      <alignment/>
      <protection locked="0"/>
    </xf>
    <xf numFmtId="0" fontId="22" fillId="34" borderId="0" xfId="0" applyNumberFormat="1" applyFont="1" applyFill="1" applyAlignment="1" applyProtection="1" quotePrefix="1">
      <alignment/>
      <protection/>
    </xf>
    <xf numFmtId="0" fontId="11" fillId="34" borderId="0" xfId="0" applyNumberFormat="1" applyFont="1" applyFill="1" applyAlignment="1" applyProtection="1" quotePrefix="1">
      <alignment/>
      <protection locked="0"/>
    </xf>
    <xf numFmtId="0" fontId="12" fillId="34" borderId="0" xfId="0" applyFont="1" applyFill="1" applyAlignment="1" applyProtection="1">
      <alignment horizontal="fill"/>
      <protection/>
    </xf>
    <xf numFmtId="4" fontId="12" fillId="34" borderId="0" xfId="0" applyNumberFormat="1" applyFont="1" applyFill="1" applyAlignment="1" applyProtection="1">
      <alignment/>
      <protection/>
    </xf>
    <xf numFmtId="4" fontId="12" fillId="34" borderId="0" xfId="0" applyNumberFormat="1" applyFont="1" applyFill="1" applyAlignment="1" applyProtection="1" quotePrefix="1">
      <alignment/>
      <protection/>
    </xf>
    <xf numFmtId="43" fontId="12" fillId="34" borderId="0" xfId="0" applyNumberFormat="1" applyFont="1" applyFill="1" applyAlignment="1" applyProtection="1" quotePrefix="1">
      <alignment/>
      <protection/>
    </xf>
    <xf numFmtId="0" fontId="23" fillId="34" borderId="0" xfId="0" applyFont="1" applyFill="1" applyAlignment="1" applyProtection="1">
      <alignment horizontal="right"/>
      <protection/>
    </xf>
    <xf numFmtId="0" fontId="23" fillId="34" borderId="0" xfId="0" applyFont="1" applyFill="1" applyAlignment="1" applyProtection="1">
      <alignment horizontal="center"/>
      <protection/>
    </xf>
    <xf numFmtId="40" fontId="12" fillId="34" borderId="0" xfId="0" applyNumberFormat="1" applyFont="1" applyFill="1" applyAlignment="1" applyProtection="1">
      <alignment/>
      <protection/>
    </xf>
    <xf numFmtId="40" fontId="23" fillId="34" borderId="0" xfId="0" applyNumberFormat="1" applyFont="1" applyFill="1" applyAlignment="1" applyProtection="1">
      <alignment/>
      <protection/>
    </xf>
    <xf numFmtId="0" fontId="12" fillId="34" borderId="0" xfId="0" applyFont="1" applyFill="1" applyAlignment="1" applyProtection="1">
      <alignment/>
      <protection/>
    </xf>
    <xf numFmtId="0" fontId="40" fillId="34" borderId="0" xfId="0" applyFont="1" applyFill="1" applyAlignment="1" applyProtection="1">
      <alignment/>
      <protection/>
    </xf>
    <xf numFmtId="0" fontId="41" fillId="34" borderId="0" xfId="0" applyFont="1" applyFill="1" applyAlignment="1" applyProtection="1">
      <alignment/>
      <protection/>
    </xf>
    <xf numFmtId="164" fontId="12" fillId="34" borderId="0" xfId="0" applyNumberFormat="1" applyFont="1" applyFill="1" applyAlignment="1" applyProtection="1">
      <alignment/>
      <protection/>
    </xf>
    <xf numFmtId="0" fontId="12" fillId="34" borderId="0" xfId="0" applyFont="1" applyFill="1" applyAlignment="1" applyProtection="1">
      <alignment horizontal="right"/>
      <protection/>
    </xf>
    <xf numFmtId="39" fontId="12" fillId="34" borderId="0" xfId="0" applyNumberFormat="1" applyFont="1" applyFill="1" applyAlignment="1" applyProtection="1">
      <alignment/>
      <protection/>
    </xf>
    <xf numFmtId="0" fontId="23" fillId="34" borderId="0" xfId="0" applyFont="1" applyFill="1" applyAlignment="1" applyProtection="1">
      <alignment horizontal="left"/>
      <protection/>
    </xf>
    <xf numFmtId="4" fontId="42" fillId="34" borderId="0" xfId="0" applyNumberFormat="1" applyFont="1" applyFill="1" applyAlignment="1" applyProtection="1">
      <alignment/>
      <protection locked="0"/>
    </xf>
    <xf numFmtId="0" fontId="42" fillId="34" borderId="0" xfId="0" applyFont="1" applyFill="1" applyAlignment="1" applyProtection="1">
      <alignment/>
      <protection locked="0"/>
    </xf>
    <xf numFmtId="0" fontId="23" fillId="34" borderId="0" xfId="0" applyFont="1" applyFill="1" applyBorder="1" applyAlignment="1" applyProtection="1" quotePrefix="1">
      <alignment horizontal="left"/>
      <protection/>
    </xf>
    <xf numFmtId="0" fontId="23" fillId="34" borderId="0" xfId="0" applyFont="1" applyFill="1" applyBorder="1" applyAlignment="1" applyProtection="1">
      <alignment/>
      <protection/>
    </xf>
    <xf numFmtId="9" fontId="23" fillId="34" borderId="0" xfId="58" applyFont="1" applyFill="1" applyBorder="1" applyAlignment="1" applyProtection="1">
      <alignment/>
      <protection/>
    </xf>
    <xf numFmtId="0" fontId="42" fillId="34" borderId="0" xfId="0" applyFont="1" applyFill="1" applyBorder="1" applyAlignment="1" applyProtection="1">
      <alignment/>
      <protection locked="0"/>
    </xf>
    <xf numFmtId="9" fontId="23" fillId="34" borderId="0" xfId="58" applyFont="1" applyFill="1" applyBorder="1" applyAlignment="1" applyProtection="1">
      <alignment horizontal="fill"/>
      <protection/>
    </xf>
    <xf numFmtId="10" fontId="29" fillId="34" borderId="0" xfId="58" applyNumberFormat="1" applyFont="1" applyFill="1" applyBorder="1" applyAlignment="1" applyProtection="1">
      <alignment horizontal="center"/>
      <protection/>
    </xf>
    <xf numFmtId="0" fontId="29" fillId="34" borderId="0" xfId="0" applyFont="1" applyFill="1" applyBorder="1" applyAlignment="1" applyProtection="1">
      <alignment horizontal="center"/>
      <protection/>
    </xf>
    <xf numFmtId="165" fontId="23" fillId="34" borderId="0" xfId="0" applyNumberFormat="1" applyFont="1" applyFill="1" applyBorder="1" applyAlignment="1" applyProtection="1">
      <alignment/>
      <protection/>
    </xf>
    <xf numFmtId="10" fontId="29" fillId="34" borderId="0" xfId="0" applyNumberFormat="1" applyFont="1" applyFill="1" applyBorder="1" applyAlignment="1" applyProtection="1">
      <alignment horizontal="center"/>
      <protection/>
    </xf>
    <xf numFmtId="10" fontId="23" fillId="34" borderId="0" xfId="0" applyNumberFormat="1" applyFont="1" applyFill="1" applyBorder="1" applyAlignment="1" applyProtection="1">
      <alignment/>
      <protection/>
    </xf>
    <xf numFmtId="171" fontId="23" fillId="34" borderId="0" xfId="0" applyNumberFormat="1" applyFont="1" applyFill="1" applyBorder="1" applyAlignment="1" applyProtection="1">
      <alignment/>
      <protection/>
    </xf>
    <xf numFmtId="0" fontId="23" fillId="34" borderId="0" xfId="0" applyFont="1" applyFill="1" applyAlignment="1" quotePrefix="1">
      <alignment horizontal="left"/>
    </xf>
    <xf numFmtId="0" fontId="42" fillId="34" borderId="0" xfId="0" applyNumberFormat="1" applyFont="1" applyFill="1" applyAlignment="1" applyProtection="1">
      <alignment/>
      <protection locked="0"/>
    </xf>
    <xf numFmtId="173" fontId="40" fillId="34" borderId="0" xfId="0" applyNumberFormat="1" applyFont="1" applyFill="1" applyAlignment="1" applyProtection="1">
      <alignment/>
      <protection/>
    </xf>
    <xf numFmtId="4" fontId="42" fillId="34" borderId="0" xfId="0" applyNumberFormat="1" applyFont="1" applyFill="1" applyAlignment="1" applyProtection="1" quotePrefix="1">
      <alignment/>
      <protection locked="0"/>
    </xf>
    <xf numFmtId="165" fontId="31" fillId="34" borderId="0" xfId="0" applyNumberFormat="1" applyFont="1" applyFill="1" applyAlignment="1" applyProtection="1">
      <alignment/>
      <protection hidden="1"/>
    </xf>
    <xf numFmtId="4" fontId="29" fillId="34" borderId="0" xfId="0" applyNumberFormat="1" applyFont="1" applyFill="1" applyAlignment="1" applyProtection="1">
      <alignment/>
      <protection/>
    </xf>
    <xf numFmtId="0" fontId="37" fillId="34" borderId="0" xfId="0" applyFont="1" applyFill="1" applyBorder="1" applyAlignment="1" applyProtection="1">
      <alignment horizontal="right"/>
      <protection/>
    </xf>
    <xf numFmtId="4" fontId="28" fillId="34" borderId="0" xfId="42" applyNumberFormat="1" applyFont="1" applyFill="1" applyBorder="1" applyAlignment="1" applyProtection="1">
      <alignment/>
      <protection locked="0"/>
    </xf>
    <xf numFmtId="0" fontId="28" fillId="34" borderId="0" xfId="0" applyNumberFormat="1" applyFont="1" applyFill="1" applyBorder="1" applyAlignment="1" applyProtection="1">
      <alignment/>
      <protection locked="0"/>
    </xf>
    <xf numFmtId="0" fontId="29" fillId="34" borderId="0" xfId="0" applyFont="1" applyFill="1" applyBorder="1" applyAlignment="1">
      <alignment/>
    </xf>
    <xf numFmtId="0" fontId="12" fillId="34" borderId="0" xfId="0" applyFont="1" applyFill="1" applyBorder="1" applyAlignment="1" applyProtection="1" quotePrefix="1">
      <alignment horizontal="left"/>
      <protection/>
    </xf>
    <xf numFmtId="0" fontId="23" fillId="34" borderId="0" xfId="0" applyFont="1" applyFill="1" applyBorder="1" applyAlignment="1" applyProtection="1">
      <alignment horizontal="right"/>
      <protection/>
    </xf>
    <xf numFmtId="3" fontId="43" fillId="34" borderId="0" xfId="0" applyNumberFormat="1" applyFont="1" applyFill="1" applyBorder="1" applyAlignment="1" applyProtection="1">
      <alignment/>
      <protection/>
    </xf>
    <xf numFmtId="0" fontId="44" fillId="34" borderId="0" xfId="0" applyFont="1" applyFill="1" applyBorder="1" applyAlignment="1" applyProtection="1">
      <alignment horizontal="justify"/>
      <protection/>
    </xf>
    <xf numFmtId="0" fontId="27" fillId="34" borderId="0" xfId="0" applyFont="1" applyFill="1" applyBorder="1" applyAlignment="1" applyProtection="1">
      <alignment/>
      <protection/>
    </xf>
    <xf numFmtId="166" fontId="27" fillId="34" borderId="0" xfId="0" applyNumberFormat="1" applyFont="1" applyFill="1" applyBorder="1" applyAlignment="1" applyProtection="1">
      <alignment/>
      <protection/>
    </xf>
    <xf numFmtId="166" fontId="45" fillId="34" borderId="0" xfId="0" applyNumberFormat="1" applyFont="1" applyFill="1" applyBorder="1" applyAlignment="1" applyProtection="1">
      <alignment horizontal="right"/>
      <protection/>
    </xf>
    <xf numFmtId="3" fontId="46" fillId="34" borderId="0" xfId="42" applyNumberFormat="1" applyFont="1" applyFill="1" applyBorder="1" applyAlignment="1" applyProtection="1">
      <alignment/>
      <protection/>
    </xf>
    <xf numFmtId="0" fontId="27" fillId="34" borderId="0" xfId="0" applyFont="1" applyFill="1" applyBorder="1" applyAlignment="1" applyProtection="1">
      <alignment/>
      <protection locked="0"/>
    </xf>
    <xf numFmtId="43" fontId="46" fillId="34" borderId="0" xfId="42" applyFont="1" applyFill="1" applyBorder="1" applyAlignment="1" applyProtection="1">
      <alignment/>
      <protection/>
    </xf>
    <xf numFmtId="0" fontId="12" fillId="0" borderId="0" xfId="55" applyFont="1" applyAlignment="1">
      <alignmen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aspc2" xfId="55"/>
    <cellStyle name="Note" xfId="56"/>
    <cellStyle name="Output" xfId="57"/>
    <cellStyle name="Percent" xfId="58"/>
    <cellStyle name="Title" xfId="59"/>
    <cellStyle name="Total" xfId="60"/>
    <cellStyle name="Warning Text" xfId="61"/>
  </cellStyles>
  <dxfs count="2">
    <dxf>
      <font>
        <color indexed="12"/>
      </font>
    </dxf>
    <dxf>
      <font>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Balance Remaining on the Loan</a:t>
            </a:r>
          </a:p>
        </c:rich>
      </c:tx>
      <c:layout>
        <c:manualLayout>
          <c:xMode val="factor"/>
          <c:yMode val="factor"/>
          <c:x val="-0.0055"/>
          <c:y val="-0.01975"/>
        </c:manualLayout>
      </c:layout>
      <c:spPr>
        <a:solidFill>
          <a:srgbClr val="FFFF99"/>
        </a:solidFill>
        <a:ln w="3175">
          <a:noFill/>
        </a:ln>
      </c:spPr>
    </c:title>
    <c:plotArea>
      <c:layout>
        <c:manualLayout>
          <c:xMode val="edge"/>
          <c:yMode val="edge"/>
          <c:x val="0.03875"/>
          <c:y val="0.073"/>
          <c:w val="0.83925"/>
          <c:h val="0.86025"/>
        </c:manualLayout>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Schedule!$A$13:$A$133</c:f>
              <c:numCache>
                <c:ptCount val="1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Schedule!$G$13:$G$133</c:f>
              <c:numCache>
                <c:ptCount val="121"/>
                <c:pt idx="0">
                  <c:v>750000</c:v>
                </c:pt>
                <c:pt idx="1">
                  <c:v>722790.84</c:v>
                </c:pt>
                <c:pt idx="2">
                  <c:v>694697.38</c:v>
                </c:pt>
                <c:pt idx="3">
                  <c:v>665690.88</c:v>
                </c:pt>
                <c:pt idx="4">
                  <c:v>635741.67</c:v>
                </c:pt>
                <c:pt idx="5">
                  <c:v>604819.11</c:v>
                </c:pt>
                <c:pt idx="6">
                  <c:v>572891.57</c:v>
                </c:pt>
                <c:pt idx="7">
                  <c:v>539926.39</c:v>
                </c:pt>
                <c:pt idx="8">
                  <c:v>505889.84</c:v>
                </c:pt>
                <c:pt idx="9">
                  <c:v>470747.1</c:v>
                </c:pt>
                <c:pt idx="10">
                  <c:v>434462.22</c:v>
                </c:pt>
                <c:pt idx="11">
                  <c:v>396998.08</c:v>
                </c:pt>
                <c:pt idx="12">
                  <c:v>358316.36</c:v>
                </c:pt>
                <c:pt idx="13">
                  <c:v>318377.48</c:v>
                </c:pt>
                <c:pt idx="14">
                  <c:v>277140.59</c:v>
                </c:pt>
                <c:pt idx="15">
                  <c:v>234563.5</c:v>
                </c:pt>
                <c:pt idx="16">
                  <c:v>190602.65</c:v>
                </c:pt>
                <c:pt idx="17">
                  <c:v>145213.08</c:v>
                </c:pt>
                <c:pt idx="18">
                  <c:v>98348.35</c:v>
                </c:pt>
                <c:pt idx="19">
                  <c:v>49960.51</c:v>
                </c:pt>
                <c:pt idx="20">
                  <c:v>0.07</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ser>
        <c:marker val="1"/>
        <c:axId val="66067867"/>
        <c:axId val="57739892"/>
      </c:lineChart>
      <c:catAx>
        <c:axId val="660678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Payments</a:t>
                </a:r>
              </a:p>
            </c:rich>
          </c:tx>
          <c:layout>
            <c:manualLayout>
              <c:xMode val="factor"/>
              <c:yMode val="factor"/>
              <c:x val="-0.0065"/>
              <c:y val="0.00075"/>
            </c:manualLayout>
          </c:layout>
          <c:overlay val="0"/>
          <c:spPr>
            <a:solidFill>
              <a:srgbClr val="FFFF99"/>
            </a:solidFill>
            <a:ln w="3175">
              <a:noFill/>
            </a:ln>
          </c:spPr>
        </c:title>
        <c:delete val="0"/>
        <c:numFmt formatCode="General" sourceLinked="1"/>
        <c:majorTickMark val="cross"/>
        <c:minorTickMark val="none"/>
        <c:tickLblPos val="nextTo"/>
        <c:spPr>
          <a:ln w="3175">
            <a:solidFill>
              <a:srgbClr val="000000"/>
            </a:solidFill>
          </a:ln>
        </c:spPr>
        <c:crossAx val="57739892"/>
        <c:crosses val="autoZero"/>
        <c:auto val="0"/>
        <c:lblOffset val="100"/>
        <c:tickLblSkip val="20"/>
        <c:tickMarkSkip val="10"/>
        <c:noMultiLvlLbl val="0"/>
      </c:catAx>
      <c:valAx>
        <c:axId val="577398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1425"/>
              <c:y val="-0.001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66067867"/>
        <c:crossesAt val="1"/>
        <c:crossBetween val="midCat"/>
        <c:dispUnits/>
      </c:valAx>
      <c:spPr>
        <a:noFill/>
        <a:ln>
          <a:noFill/>
        </a:ln>
      </c:spPr>
    </c:plotArea>
    <c:plotVisOnly val="0"/>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Principal and Interest Per Payment</a:t>
            </a:r>
          </a:p>
        </c:rich>
      </c:tx>
      <c:layout>
        <c:manualLayout>
          <c:xMode val="factor"/>
          <c:yMode val="factor"/>
          <c:x val="-0.0655"/>
          <c:y val="-0.0195"/>
        </c:manualLayout>
      </c:layout>
      <c:spPr>
        <a:noFill/>
        <a:ln w="3175">
          <a:noFill/>
        </a:ln>
      </c:spPr>
    </c:title>
    <c:plotArea>
      <c:layout>
        <c:manualLayout>
          <c:xMode val="edge"/>
          <c:yMode val="edge"/>
          <c:x val="0.0375"/>
          <c:y val="0.0695"/>
          <c:w val="0.795"/>
          <c:h val="0.84075"/>
        </c:manualLayout>
      </c:layout>
      <c:lineChart>
        <c:grouping val="standard"/>
        <c:varyColors val="0"/>
        <c:ser>
          <c:idx val="0"/>
          <c:order val="0"/>
          <c:tx>
            <c:v>Interest Portion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Schedule!$A$13:$A$133</c:f>
              <c:numCache>
                <c:ptCount val="1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Schedule!$D$13:$D$133</c:f>
              <c:numCache>
                <c:ptCount val="121"/>
                <c:pt idx="1">
                  <c:v>24375</c:v>
                </c:pt>
                <c:pt idx="2">
                  <c:v>23490.7</c:v>
                </c:pt>
                <c:pt idx="3">
                  <c:v>22577.66</c:v>
                </c:pt>
                <c:pt idx="4">
                  <c:v>21634.95</c:v>
                </c:pt>
                <c:pt idx="5">
                  <c:v>20661.6</c:v>
                </c:pt>
                <c:pt idx="6">
                  <c:v>19656.62</c:v>
                </c:pt>
                <c:pt idx="7">
                  <c:v>18618.98</c:v>
                </c:pt>
                <c:pt idx="8">
                  <c:v>17547.61</c:v>
                </c:pt>
                <c:pt idx="9">
                  <c:v>16441.42</c:v>
                </c:pt>
                <c:pt idx="10">
                  <c:v>15299.28</c:v>
                </c:pt>
                <c:pt idx="11">
                  <c:v>14120.02</c:v>
                </c:pt>
                <c:pt idx="12">
                  <c:v>12902.44</c:v>
                </c:pt>
                <c:pt idx="13">
                  <c:v>11645.28</c:v>
                </c:pt>
                <c:pt idx="14">
                  <c:v>10347.27</c:v>
                </c:pt>
                <c:pt idx="15">
                  <c:v>9007.07</c:v>
                </c:pt>
                <c:pt idx="16">
                  <c:v>7623.31</c:v>
                </c:pt>
                <c:pt idx="17">
                  <c:v>6194.59</c:v>
                </c:pt>
                <c:pt idx="18">
                  <c:v>4719.43</c:v>
                </c:pt>
                <c:pt idx="19">
                  <c:v>3196.32</c:v>
                </c:pt>
                <c:pt idx="20">
                  <c:v>1623.72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ser>
        <c:ser>
          <c:idx val="1"/>
          <c:order val="1"/>
          <c:tx>
            <c:v>Principal Portion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Schedule!$A$13:$A$133</c:f>
              <c:numCache>
                <c:ptCount val="1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Schedule!$E$13:$E$133</c:f>
              <c:numCache>
                <c:ptCount val="121"/>
                <c:pt idx="1">
                  <c:v>27209.160000000003</c:v>
                </c:pt>
                <c:pt idx="2">
                  <c:v>28093.460000000003</c:v>
                </c:pt>
                <c:pt idx="3">
                  <c:v>29006.500000000004</c:v>
                </c:pt>
                <c:pt idx="4">
                  <c:v>29949.210000000003</c:v>
                </c:pt>
                <c:pt idx="5">
                  <c:v>30922.560000000005</c:v>
                </c:pt>
                <c:pt idx="6">
                  <c:v>31927.540000000005</c:v>
                </c:pt>
                <c:pt idx="7">
                  <c:v>32965.18000000001</c:v>
                </c:pt>
                <c:pt idx="8">
                  <c:v>34036.55</c:v>
                </c:pt>
                <c:pt idx="9">
                  <c:v>35142.740000000005</c:v>
                </c:pt>
                <c:pt idx="10">
                  <c:v>36284.880000000005</c:v>
                </c:pt>
                <c:pt idx="11">
                  <c:v>37464.14</c:v>
                </c:pt>
                <c:pt idx="12">
                  <c:v>38681.72</c:v>
                </c:pt>
                <c:pt idx="13">
                  <c:v>39938.880000000005</c:v>
                </c:pt>
                <c:pt idx="14">
                  <c:v>41236.89</c:v>
                </c:pt>
                <c:pt idx="15">
                  <c:v>42577.090000000004</c:v>
                </c:pt>
                <c:pt idx="16">
                  <c:v>43960.850000000006</c:v>
                </c:pt>
                <c:pt idx="17">
                  <c:v>45389.57000000001</c:v>
                </c:pt>
                <c:pt idx="18">
                  <c:v>46864.73</c:v>
                </c:pt>
                <c:pt idx="19">
                  <c:v>48387.840000000004</c:v>
                </c:pt>
                <c:pt idx="20">
                  <c:v>49960.44</c:v>
                </c:pt>
                <c:pt idx="21">
                  <c:v>0.07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ser>
        <c:marker val="1"/>
        <c:axId val="49896981"/>
        <c:axId val="46419646"/>
      </c:lineChart>
      <c:catAx>
        <c:axId val="4989698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payments</a:t>
                </a:r>
              </a:p>
            </c:rich>
          </c:tx>
          <c:layout>
            <c:manualLayout>
              <c:xMode val="factor"/>
              <c:yMode val="factor"/>
              <c:x val="-0.006"/>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6419646"/>
        <c:crosses val="autoZero"/>
        <c:auto val="0"/>
        <c:lblOffset val="100"/>
        <c:tickLblSkip val="20"/>
        <c:tickMarkSkip val="10"/>
        <c:noMultiLvlLbl val="0"/>
      </c:catAx>
      <c:valAx>
        <c:axId val="4641964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1075"/>
              <c:y val="-0.001"/>
            </c:manualLayout>
          </c:layout>
          <c:overlay val="0"/>
          <c:spPr>
            <a:noFill/>
            <a:ln w="3175">
              <a:noFill/>
            </a:ln>
          </c:spPr>
        </c:title>
        <c:delete val="0"/>
        <c:numFmt formatCode="0" sourceLinked="0"/>
        <c:majorTickMark val="cross"/>
        <c:minorTickMark val="none"/>
        <c:tickLblPos val="nextTo"/>
        <c:spPr>
          <a:ln w="3175">
            <a:solidFill>
              <a:srgbClr val="000000"/>
            </a:solidFill>
          </a:ln>
        </c:spPr>
        <c:crossAx val="49896981"/>
        <c:crossesAt val="1"/>
        <c:crossBetween val="midCat"/>
        <c:dispUnits/>
      </c:valAx>
      <c:spPr>
        <a:noFill/>
        <a:ln>
          <a:noFill/>
        </a:ln>
      </c:spPr>
    </c:plotArea>
    <c:legend>
      <c:legendPos val="r"/>
      <c:layout>
        <c:manualLayout>
          <c:xMode val="edge"/>
          <c:yMode val="edge"/>
          <c:x val="0.84325"/>
          <c:y val="0.0225"/>
          <c:w val="0.1545"/>
          <c:h val="0.06925"/>
        </c:manualLayout>
      </c:layout>
      <c:overlay val="0"/>
      <c:spPr>
        <a:solidFill>
          <a:srgbClr val="FFFFC0"/>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2">
    <tabColor indexed="47"/>
  </sheetPr>
  <sheetViews>
    <sheetView workbookViewId="0" zoomScale="94"/>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tabColor indexed="47"/>
  </sheetPr>
  <sheetViews>
    <sheetView workbookViewId="0" zoomScale="94"/>
  </sheetViews>
  <pageMargins left="0.7874015748031497" right="0.3937007874015748" top="0.984251968503937" bottom="0.984251968503937" header="0.5118110236220472" footer="0.5118110236220472"/>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514350</xdr:colOff>
      <xdr:row>2</xdr:row>
      <xdr:rowOff>142875</xdr:rowOff>
    </xdr:to>
    <xdr:pic>
      <xdr:nvPicPr>
        <xdr:cNvPr id="1" name="Picture 1" descr="NEW Ont Trillium logo blk2007"/>
        <xdr:cNvPicPr preferRelativeResize="1">
          <a:picLocks noChangeAspect="1"/>
        </xdr:cNvPicPr>
      </xdr:nvPicPr>
      <xdr:blipFill>
        <a:blip r:embed="rId1"/>
        <a:srcRect l="2563" t="16453" b="19195"/>
        <a:stretch>
          <a:fillRect/>
        </a:stretch>
      </xdr:blipFill>
      <xdr:spPr>
        <a:xfrm>
          <a:off x="0" y="209550"/>
          <a:ext cx="13049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16</xdr:row>
      <xdr:rowOff>28575</xdr:rowOff>
    </xdr:from>
    <xdr:to>
      <xdr:col>30</xdr:col>
      <xdr:colOff>0</xdr:colOff>
      <xdr:row>19</xdr:row>
      <xdr:rowOff>0</xdr:rowOff>
    </xdr:to>
    <xdr:sp macro="[0]!changeSpinner" fLocksText="0">
      <xdr:nvSpPr>
        <xdr:cNvPr id="1" name="TextBox 47"/>
        <xdr:cNvSpPr txBox="1">
          <a:spLocks noChangeArrowheads="1"/>
        </xdr:cNvSpPr>
      </xdr:nvSpPr>
      <xdr:spPr>
        <a:xfrm>
          <a:off x="1562100" y="1095375"/>
          <a:ext cx="4381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7</a:t>
          </a:r>
        </a:p>
      </xdr:txBody>
    </xdr:sp>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0.971</cdr:y>
    </cdr:from>
    <cdr:to>
      <cdr:x>0.6715</cdr:x>
      <cdr:y>0.998</cdr:y>
    </cdr:to>
    <cdr:sp textlink="Compare!$S$4">
      <cdr:nvSpPr>
        <cdr:cNvPr id="1" name="Text 4"/>
        <cdr:cNvSpPr txBox="1">
          <a:spLocks noChangeArrowheads="1"/>
        </cdr:cNvSpPr>
      </cdr:nvSpPr>
      <cdr:spPr>
        <a:xfrm>
          <a:off x="9525" y="5734050"/>
          <a:ext cx="5810250" cy="161925"/>
        </a:xfrm>
        <a:prstGeom prst="rect">
          <a:avLst/>
        </a:prstGeom>
        <a:noFill/>
        <a:ln w="1" cmpd="sng">
          <a:noFill/>
        </a:ln>
      </cdr:spPr>
      <cdr:txBody>
        <a:bodyPr vertOverflow="clip" wrap="square" lIns="27432" tIns="22860" rIns="0" bIns="0"/>
        <a:p>
          <a:pPr algn="l">
            <a:defRPr/>
          </a:pPr>
          <a:fld id="{36bb4726-1741-4f81-828b-11db750c784d}" type="TxLink">
            <a:rPr lang="en-US" cap="none" sz="800" b="0" i="0" u="none" baseline="0">
              <a:solidFill>
                <a:srgbClr val="FF0000"/>
              </a:solidFill>
              <a:latin typeface="Arial"/>
              <a:ea typeface="Arial"/>
              <a:cs typeface="Arial"/>
            </a:rPr>
            <a:t>       $ 750000 loan at 6.5 % for 10 years, 2 pmts/year, compounded 2x per year </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0.95575</cdr:y>
    </cdr:from>
    <cdr:to>
      <cdr:x>0.669</cdr:x>
      <cdr:y>0.9875</cdr:y>
    </cdr:to>
    <cdr:sp textlink="Compare!$S$4">
      <cdr:nvSpPr>
        <cdr:cNvPr id="1" name="Text 4"/>
        <cdr:cNvSpPr txBox="1">
          <a:spLocks noChangeArrowheads="1"/>
        </cdr:cNvSpPr>
      </cdr:nvSpPr>
      <cdr:spPr>
        <a:xfrm>
          <a:off x="114300" y="5676900"/>
          <a:ext cx="5867400" cy="190500"/>
        </a:xfrm>
        <a:prstGeom prst="rect">
          <a:avLst/>
        </a:prstGeom>
        <a:noFill/>
        <a:ln w="1" cmpd="sng">
          <a:noFill/>
        </a:ln>
      </cdr:spPr>
      <cdr:txBody>
        <a:bodyPr vertOverflow="clip" wrap="square" lIns="27432" tIns="22860" rIns="0" bIns="0"/>
        <a:p>
          <a:pPr algn="l">
            <a:defRPr/>
          </a:pPr>
          <a:fld id="{e0e4b923-66d2-4c1d-9561-aedab2fd995a}" type="TxLink">
            <a:rPr lang="en-US" cap="none" sz="800" b="0" i="0" u="none" baseline="0">
              <a:solidFill>
                <a:srgbClr val="FF0000"/>
              </a:solidFill>
              <a:latin typeface="Arial"/>
              <a:ea typeface="Arial"/>
              <a:cs typeface="Arial"/>
            </a:rPr>
            <a:t>       $ 750000 loan at 6.5 % for 10 years, 2 pmts/year, compounded 2x per year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953500" cy="5943600"/>
    <xdr:graphicFrame>
      <xdr:nvGraphicFramePr>
        <xdr:cNvPr id="1" name="Shape 1025"/>
        <xdr:cNvGraphicFramePr/>
      </xdr:nvGraphicFramePr>
      <xdr:xfrm>
        <a:off x="0" y="0"/>
        <a:ext cx="8953500"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J96"/>
  <sheetViews>
    <sheetView tabSelected="1" zoomScale="120" zoomScaleNormal="12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
  <cols>
    <col min="1" max="1" width="2.7109375" style="0" customWidth="1"/>
  </cols>
  <sheetData>
    <row r="1" ht="16.5" customHeight="1">
      <c r="A1" s="277" t="s">
        <v>204</v>
      </c>
    </row>
    <row r="2" spans="4:8" ht="18">
      <c r="D2" s="51" t="s">
        <v>129</v>
      </c>
      <c r="E2" s="52"/>
      <c r="F2" s="51"/>
      <c r="G2" s="51"/>
      <c r="H2" s="52"/>
    </row>
    <row r="4" spans="2:10" ht="15">
      <c r="B4" s="73" t="s">
        <v>130</v>
      </c>
      <c r="C4" s="73"/>
      <c r="D4" s="73"/>
      <c r="E4" s="73"/>
      <c r="F4" s="73"/>
      <c r="G4" s="73"/>
      <c r="H4" s="73"/>
      <c r="I4" s="73"/>
      <c r="J4" s="73"/>
    </row>
    <row r="5" spans="2:10" ht="15">
      <c r="B5" s="73" t="s">
        <v>131</v>
      </c>
      <c r="C5" s="73"/>
      <c r="D5" s="73"/>
      <c r="E5" s="73"/>
      <c r="F5" s="73"/>
      <c r="G5" s="73"/>
      <c r="H5" s="73"/>
      <c r="I5" s="73"/>
      <c r="J5" s="73"/>
    </row>
    <row r="6" spans="2:10" ht="15">
      <c r="B6" s="74" t="s">
        <v>132</v>
      </c>
      <c r="C6" s="73"/>
      <c r="D6" s="73"/>
      <c r="E6" s="73"/>
      <c r="F6" s="73"/>
      <c r="G6" s="73"/>
      <c r="H6" s="73"/>
      <c r="I6" s="73"/>
      <c r="J6" s="73"/>
    </row>
    <row r="7" spans="2:10" ht="15">
      <c r="B7" s="75" t="s">
        <v>133</v>
      </c>
      <c r="C7" s="73"/>
      <c r="D7" s="73"/>
      <c r="E7" s="73"/>
      <c r="F7" s="73"/>
      <c r="G7" s="73"/>
      <c r="H7" s="73"/>
      <c r="I7" s="73"/>
      <c r="J7" s="73"/>
    </row>
    <row r="8" spans="2:10" ht="15">
      <c r="B8" s="74" t="s">
        <v>134</v>
      </c>
      <c r="C8" s="73"/>
      <c r="D8" s="73"/>
      <c r="E8" s="73"/>
      <c r="F8" s="73"/>
      <c r="G8" s="73"/>
      <c r="H8" s="73"/>
      <c r="I8" s="73"/>
      <c r="J8" s="73"/>
    </row>
    <row r="9" spans="2:10" ht="15">
      <c r="B9" s="73" t="s">
        <v>135</v>
      </c>
      <c r="C9" s="73"/>
      <c r="D9" s="73"/>
      <c r="E9" s="73"/>
      <c r="F9" s="73"/>
      <c r="G9" s="73"/>
      <c r="H9" s="73"/>
      <c r="I9" s="73"/>
      <c r="J9" s="73"/>
    </row>
    <row r="10" spans="2:10" ht="15">
      <c r="B10" s="73"/>
      <c r="C10" s="73"/>
      <c r="D10" s="73"/>
      <c r="E10" s="73"/>
      <c r="F10" s="73"/>
      <c r="G10" s="73"/>
      <c r="H10" s="73"/>
      <c r="I10" s="73"/>
      <c r="J10" s="73"/>
    </row>
    <row r="11" spans="2:10" ht="15">
      <c r="B11" s="73" t="s">
        <v>136</v>
      </c>
      <c r="C11" s="73"/>
      <c r="D11" s="73"/>
      <c r="E11" s="73"/>
      <c r="F11" s="73"/>
      <c r="G11" s="73"/>
      <c r="H11" s="73"/>
      <c r="I11" s="73"/>
      <c r="J11" s="73"/>
    </row>
    <row r="12" spans="2:10" ht="15">
      <c r="B12" s="74" t="s">
        <v>137</v>
      </c>
      <c r="C12" s="73"/>
      <c r="D12" s="73"/>
      <c r="E12" s="73"/>
      <c r="F12" s="73"/>
      <c r="G12" s="73"/>
      <c r="H12" s="73"/>
      <c r="I12" s="73"/>
      <c r="J12" s="73"/>
    </row>
    <row r="13" spans="2:10" ht="15">
      <c r="B13" s="73" t="s">
        <v>138</v>
      </c>
      <c r="C13" s="73"/>
      <c r="D13" s="73"/>
      <c r="E13" s="73"/>
      <c r="F13" s="73"/>
      <c r="G13" s="73"/>
      <c r="H13" s="73"/>
      <c r="I13" s="73"/>
      <c r="J13" s="73"/>
    </row>
    <row r="14" spans="2:10" ht="15">
      <c r="B14" s="73"/>
      <c r="C14" s="73"/>
      <c r="D14" s="73"/>
      <c r="E14" s="73"/>
      <c r="F14" s="73"/>
      <c r="G14" s="73"/>
      <c r="H14" s="73"/>
      <c r="I14" s="73"/>
      <c r="J14" s="73"/>
    </row>
    <row r="15" spans="2:10" ht="15.75">
      <c r="B15" s="76" t="s">
        <v>190</v>
      </c>
      <c r="C15" s="73"/>
      <c r="D15" s="73"/>
      <c r="E15" s="73"/>
      <c r="F15" s="73"/>
      <c r="G15" s="73"/>
      <c r="H15" s="73"/>
      <c r="I15" s="73"/>
      <c r="J15" s="73"/>
    </row>
    <row r="16" spans="2:10" ht="15">
      <c r="B16" s="75" t="s">
        <v>139</v>
      </c>
      <c r="C16" s="73"/>
      <c r="D16" s="73"/>
      <c r="E16" s="73"/>
      <c r="F16" s="73"/>
      <c r="G16" s="73"/>
      <c r="H16" s="73"/>
      <c r="I16" s="73"/>
      <c r="J16" s="73"/>
    </row>
    <row r="17" spans="2:10" ht="15">
      <c r="B17" s="74" t="s">
        <v>140</v>
      </c>
      <c r="C17" s="73"/>
      <c r="D17" s="73"/>
      <c r="E17" s="73"/>
      <c r="F17" s="73"/>
      <c r="G17" s="73"/>
      <c r="H17" s="73"/>
      <c r="I17" s="73"/>
      <c r="J17" s="73"/>
    </row>
    <row r="18" spans="2:10" ht="15">
      <c r="B18" s="74" t="s">
        <v>141</v>
      </c>
      <c r="C18" s="73"/>
      <c r="D18" s="73"/>
      <c r="E18" s="73"/>
      <c r="F18" s="73"/>
      <c r="G18" s="73"/>
      <c r="H18" s="73"/>
      <c r="I18" s="73"/>
      <c r="J18" s="73"/>
    </row>
    <row r="19" spans="2:10" ht="15">
      <c r="B19" s="73" t="s">
        <v>142</v>
      </c>
      <c r="C19" s="73"/>
      <c r="D19" s="73"/>
      <c r="E19" s="73"/>
      <c r="F19" s="73"/>
      <c r="G19" s="73"/>
      <c r="H19" s="73"/>
      <c r="I19" s="73"/>
      <c r="J19" s="73"/>
    </row>
    <row r="20" spans="2:10" ht="15">
      <c r="B20" s="73"/>
      <c r="C20" s="73"/>
      <c r="D20" s="73"/>
      <c r="E20" s="73"/>
      <c r="F20" s="73"/>
      <c r="G20" s="73"/>
      <c r="H20" s="73"/>
      <c r="I20" s="73"/>
      <c r="J20" s="73"/>
    </row>
    <row r="21" spans="2:10" ht="15">
      <c r="B21" s="74" t="s">
        <v>143</v>
      </c>
      <c r="C21" s="73"/>
      <c r="D21" s="73"/>
      <c r="E21" s="73"/>
      <c r="F21" s="73"/>
      <c r="G21" s="73"/>
      <c r="H21" s="73"/>
      <c r="I21" s="73"/>
      <c r="J21" s="73"/>
    </row>
    <row r="22" spans="2:10" ht="15">
      <c r="B22" s="73" t="s">
        <v>144</v>
      </c>
      <c r="C22" s="73"/>
      <c r="D22" s="73"/>
      <c r="E22" s="73"/>
      <c r="F22" s="73"/>
      <c r="G22" s="73"/>
      <c r="H22" s="73"/>
      <c r="I22" s="73"/>
      <c r="J22" s="73"/>
    </row>
    <row r="23" spans="2:10" ht="15">
      <c r="B23" s="73"/>
      <c r="C23" s="73"/>
      <c r="D23" s="73"/>
      <c r="E23" s="73"/>
      <c r="F23" s="73"/>
      <c r="G23" s="73"/>
      <c r="H23" s="73"/>
      <c r="I23" s="73"/>
      <c r="J23" s="73"/>
    </row>
    <row r="24" spans="2:10" ht="15.75">
      <c r="B24" s="76" t="s">
        <v>191</v>
      </c>
      <c r="C24" s="73"/>
      <c r="D24" s="73"/>
      <c r="E24" s="73"/>
      <c r="F24" s="73"/>
      <c r="G24" s="73"/>
      <c r="H24" s="73"/>
      <c r="I24" s="73"/>
      <c r="J24" s="73"/>
    </row>
    <row r="25" spans="2:10" ht="15">
      <c r="B25" s="77" t="s">
        <v>145</v>
      </c>
      <c r="C25" s="73"/>
      <c r="D25" s="73"/>
      <c r="E25" s="73"/>
      <c r="F25" s="73"/>
      <c r="G25" s="73"/>
      <c r="H25" s="73"/>
      <c r="I25" s="73"/>
      <c r="J25" s="73"/>
    </row>
    <row r="26" spans="2:10" ht="15">
      <c r="B26" s="78" t="s">
        <v>146</v>
      </c>
      <c r="C26" s="73"/>
      <c r="D26" s="73"/>
      <c r="E26" s="73"/>
      <c r="F26" s="73"/>
      <c r="G26" s="73"/>
      <c r="H26" s="73"/>
      <c r="I26" s="73"/>
      <c r="J26" s="73"/>
    </row>
    <row r="27" spans="2:10" ht="15">
      <c r="B27" s="78"/>
      <c r="C27" s="73"/>
      <c r="D27" s="73"/>
      <c r="E27" s="73"/>
      <c r="F27" s="73"/>
      <c r="G27" s="73"/>
      <c r="H27" s="73"/>
      <c r="I27" s="73"/>
      <c r="J27" s="73"/>
    </row>
    <row r="28" spans="2:10" ht="15.75">
      <c r="B28" s="79" t="s">
        <v>192</v>
      </c>
      <c r="C28" s="73"/>
      <c r="D28" s="73"/>
      <c r="E28" s="73"/>
      <c r="F28" s="73"/>
      <c r="G28" s="73"/>
      <c r="H28" s="73"/>
      <c r="I28" s="73"/>
      <c r="J28" s="73"/>
    </row>
    <row r="29" spans="2:10" ht="15">
      <c r="B29" s="80" t="s">
        <v>147</v>
      </c>
      <c r="C29" s="73"/>
      <c r="D29" s="73"/>
      <c r="E29" s="73"/>
      <c r="F29" s="73"/>
      <c r="G29" s="73"/>
      <c r="H29" s="73"/>
      <c r="I29" s="73"/>
      <c r="J29" s="73"/>
    </row>
    <row r="30" spans="2:10" ht="15">
      <c r="B30" s="77"/>
      <c r="C30" s="73"/>
      <c r="D30" s="73"/>
      <c r="E30" s="73"/>
      <c r="F30" s="73"/>
      <c r="G30" s="73"/>
      <c r="H30" s="73"/>
      <c r="I30" s="73"/>
      <c r="J30" s="73"/>
    </row>
    <row r="31" spans="2:10" ht="15.75">
      <c r="B31" s="79" t="s">
        <v>193</v>
      </c>
      <c r="C31" s="73"/>
      <c r="D31" s="73"/>
      <c r="E31" s="73"/>
      <c r="F31" s="73"/>
      <c r="G31" s="73"/>
      <c r="H31" s="73"/>
      <c r="I31" s="73"/>
      <c r="J31" s="73"/>
    </row>
    <row r="32" spans="2:10" ht="15">
      <c r="B32" s="80" t="s">
        <v>148</v>
      </c>
      <c r="C32" s="73"/>
      <c r="D32" s="73"/>
      <c r="E32" s="73"/>
      <c r="F32" s="73"/>
      <c r="G32" s="73"/>
      <c r="H32" s="73"/>
      <c r="I32" s="73"/>
      <c r="J32" s="73"/>
    </row>
    <row r="33" spans="2:10" ht="15">
      <c r="B33" s="81" t="s">
        <v>149</v>
      </c>
      <c r="C33" s="73"/>
      <c r="D33" s="73"/>
      <c r="E33" s="73"/>
      <c r="F33" s="73"/>
      <c r="G33" s="73"/>
      <c r="H33" s="73"/>
      <c r="I33" s="73"/>
      <c r="J33" s="73"/>
    </row>
    <row r="34" spans="2:10" ht="15">
      <c r="B34" s="80" t="s">
        <v>150</v>
      </c>
      <c r="C34" s="73"/>
      <c r="D34" s="73"/>
      <c r="E34" s="73"/>
      <c r="F34" s="73"/>
      <c r="G34" s="73"/>
      <c r="H34" s="73"/>
      <c r="I34" s="73"/>
      <c r="J34" s="73"/>
    </row>
    <row r="35" spans="2:10" ht="15">
      <c r="B35" s="80"/>
      <c r="C35" s="73"/>
      <c r="D35" s="73"/>
      <c r="E35" s="73"/>
      <c r="F35" s="73"/>
      <c r="G35" s="73"/>
      <c r="H35" s="73"/>
      <c r="I35" s="73"/>
      <c r="J35" s="73"/>
    </row>
    <row r="36" spans="2:10" ht="15.75">
      <c r="B36" s="79" t="s">
        <v>194</v>
      </c>
      <c r="C36" s="73"/>
      <c r="D36" s="73"/>
      <c r="E36" s="73"/>
      <c r="F36" s="73"/>
      <c r="G36" s="73"/>
      <c r="H36" s="73"/>
      <c r="I36" s="73"/>
      <c r="J36" s="73"/>
    </row>
    <row r="37" spans="2:10" ht="15">
      <c r="B37" s="80" t="s">
        <v>151</v>
      </c>
      <c r="C37" s="73"/>
      <c r="D37" s="73"/>
      <c r="E37" s="73"/>
      <c r="F37" s="73"/>
      <c r="G37" s="73"/>
      <c r="H37" s="73"/>
      <c r="I37" s="73"/>
      <c r="J37" s="73"/>
    </row>
    <row r="38" spans="2:10" ht="15">
      <c r="B38" s="80" t="s">
        <v>152</v>
      </c>
      <c r="C38" s="73"/>
      <c r="D38" s="73"/>
      <c r="E38" s="73"/>
      <c r="F38" s="73"/>
      <c r="G38" s="73"/>
      <c r="H38" s="73"/>
      <c r="I38" s="73"/>
      <c r="J38" s="73"/>
    </row>
    <row r="39" spans="2:10" ht="15">
      <c r="B39" s="80" t="s">
        <v>153</v>
      </c>
      <c r="C39" s="73"/>
      <c r="D39" s="73"/>
      <c r="E39" s="73"/>
      <c r="F39" s="73"/>
      <c r="G39" s="73"/>
      <c r="H39" s="73"/>
      <c r="I39" s="73"/>
      <c r="J39" s="73"/>
    </row>
    <row r="40" spans="2:10" ht="15">
      <c r="B40" s="80"/>
      <c r="C40" s="73"/>
      <c r="D40" s="73"/>
      <c r="E40" s="73"/>
      <c r="F40" s="73"/>
      <c r="G40" s="73"/>
      <c r="H40" s="73"/>
      <c r="I40" s="73"/>
      <c r="J40" s="73"/>
    </row>
    <row r="41" spans="2:10" ht="15">
      <c r="B41" s="80"/>
      <c r="C41" s="73"/>
      <c r="D41" s="73"/>
      <c r="E41" s="73"/>
      <c r="F41" s="73"/>
      <c r="G41" s="73"/>
      <c r="H41" s="73"/>
      <c r="I41" s="73"/>
      <c r="J41" s="73"/>
    </row>
    <row r="42" spans="2:10" ht="15.75">
      <c r="B42" s="43" t="s">
        <v>154</v>
      </c>
      <c r="C42" s="73"/>
      <c r="D42" s="73"/>
      <c r="E42" s="73"/>
      <c r="F42" s="73"/>
      <c r="G42" s="73"/>
      <c r="H42" s="73"/>
      <c r="I42" s="73"/>
      <c r="J42" s="73"/>
    </row>
    <row r="43" spans="2:10" ht="15">
      <c r="B43" s="77"/>
      <c r="C43" s="73"/>
      <c r="D43" s="73"/>
      <c r="E43" s="73"/>
      <c r="F43" s="73"/>
      <c r="G43" s="73"/>
      <c r="H43" s="73"/>
      <c r="I43" s="73"/>
      <c r="J43" s="73"/>
    </row>
    <row r="44" spans="2:10" ht="15.75">
      <c r="B44" s="79" t="s">
        <v>195</v>
      </c>
      <c r="C44" s="73"/>
      <c r="D44" s="73"/>
      <c r="E44" s="73"/>
      <c r="F44" s="73"/>
      <c r="G44" s="73"/>
      <c r="H44" s="73"/>
      <c r="I44" s="73"/>
      <c r="J44" s="73"/>
    </row>
    <row r="45" spans="2:10" ht="15">
      <c r="B45" s="73" t="s">
        <v>155</v>
      </c>
      <c r="C45" s="73"/>
      <c r="D45" s="73"/>
      <c r="E45" s="73"/>
      <c r="F45" s="73"/>
      <c r="G45" s="73"/>
      <c r="H45" s="73"/>
      <c r="I45" s="73"/>
      <c r="J45" s="73"/>
    </row>
    <row r="46" spans="2:10" ht="15">
      <c r="B46" s="73"/>
      <c r="C46" s="73"/>
      <c r="D46" s="73"/>
      <c r="E46" s="73"/>
      <c r="F46" s="73"/>
      <c r="G46" s="73"/>
      <c r="H46" s="73"/>
      <c r="I46" s="73"/>
      <c r="J46" s="73"/>
    </row>
    <row r="47" spans="2:10" ht="15">
      <c r="B47" s="80" t="s">
        <v>156</v>
      </c>
      <c r="C47" s="73"/>
      <c r="D47" s="73"/>
      <c r="E47" s="73"/>
      <c r="F47" s="73"/>
      <c r="G47" s="73"/>
      <c r="H47" s="73"/>
      <c r="I47" s="73"/>
      <c r="J47" s="73"/>
    </row>
    <row r="48" spans="2:10" ht="15">
      <c r="B48" s="73" t="s">
        <v>157</v>
      </c>
      <c r="C48" s="73"/>
      <c r="D48" s="73"/>
      <c r="E48" s="73"/>
      <c r="F48" s="73"/>
      <c r="G48" s="73"/>
      <c r="H48" s="73"/>
      <c r="I48" s="73"/>
      <c r="J48" s="73"/>
    </row>
    <row r="49" spans="2:10" ht="15">
      <c r="B49" s="74" t="s">
        <v>158</v>
      </c>
      <c r="C49" s="73"/>
      <c r="D49" s="73"/>
      <c r="E49" s="73"/>
      <c r="F49" s="73"/>
      <c r="G49" s="73"/>
      <c r="H49" s="73"/>
      <c r="I49" s="73"/>
      <c r="J49" s="73"/>
    </row>
    <row r="50" spans="2:10" ht="15">
      <c r="B50" s="73" t="s">
        <v>159</v>
      </c>
      <c r="C50" s="73"/>
      <c r="D50" s="73"/>
      <c r="E50" s="73"/>
      <c r="F50" s="73"/>
      <c r="G50" s="73"/>
      <c r="H50" s="73"/>
      <c r="I50" s="73"/>
      <c r="J50" s="73"/>
    </row>
    <row r="51" spans="2:10" ht="15">
      <c r="B51" s="73"/>
      <c r="C51" s="73"/>
      <c r="D51" s="73"/>
      <c r="E51" s="73"/>
      <c r="F51" s="73"/>
      <c r="G51" s="73"/>
      <c r="H51" s="73"/>
      <c r="I51" s="73"/>
      <c r="J51" s="73"/>
    </row>
    <row r="52" spans="2:10" ht="15">
      <c r="B52" s="74" t="s">
        <v>160</v>
      </c>
      <c r="C52" s="73"/>
      <c r="D52" s="73"/>
      <c r="E52" s="73"/>
      <c r="F52" s="73"/>
      <c r="G52" s="73"/>
      <c r="H52" s="73"/>
      <c r="I52" s="73"/>
      <c r="J52" s="73"/>
    </row>
    <row r="53" spans="2:10" ht="15">
      <c r="B53" s="74" t="s">
        <v>161</v>
      </c>
      <c r="C53" s="73"/>
      <c r="D53" s="73"/>
      <c r="E53" s="73"/>
      <c r="F53" s="73"/>
      <c r="G53" s="73"/>
      <c r="H53" s="73"/>
      <c r="I53" s="73"/>
      <c r="J53" s="73"/>
    </row>
    <row r="54" spans="2:10" ht="15">
      <c r="B54" s="74" t="s">
        <v>162</v>
      </c>
      <c r="C54" s="73"/>
      <c r="D54" s="73"/>
      <c r="E54" s="73"/>
      <c r="F54" s="73"/>
      <c r="G54" s="73"/>
      <c r="H54" s="73"/>
      <c r="I54" s="73"/>
      <c r="J54" s="73"/>
    </row>
    <row r="55" spans="2:10" ht="15">
      <c r="B55" s="73" t="s">
        <v>163</v>
      </c>
      <c r="C55" s="73"/>
      <c r="D55" s="73"/>
      <c r="E55" s="73"/>
      <c r="F55" s="73"/>
      <c r="G55" s="73"/>
      <c r="H55" s="73"/>
      <c r="I55" s="73"/>
      <c r="J55" s="73"/>
    </row>
    <row r="56" spans="2:10" ht="15">
      <c r="B56" s="74" t="s">
        <v>164</v>
      </c>
      <c r="C56" s="73"/>
      <c r="D56" s="73"/>
      <c r="E56" s="73"/>
      <c r="F56" s="73"/>
      <c r="G56" s="73"/>
      <c r="H56" s="73"/>
      <c r="I56" s="73"/>
      <c r="J56" s="73"/>
    </row>
    <row r="57" spans="2:10" ht="15">
      <c r="B57" s="73" t="s">
        <v>165</v>
      </c>
      <c r="C57" s="73"/>
      <c r="D57" s="73"/>
      <c r="E57" s="73"/>
      <c r="F57" s="73"/>
      <c r="G57" s="73"/>
      <c r="H57" s="73"/>
      <c r="I57" s="73"/>
      <c r="J57" s="73"/>
    </row>
    <row r="58" spans="2:10" ht="15">
      <c r="B58" s="73"/>
      <c r="C58" s="73"/>
      <c r="D58" s="73"/>
      <c r="E58" s="73"/>
      <c r="F58" s="73"/>
      <c r="G58" s="73"/>
      <c r="H58" s="73"/>
      <c r="I58" s="73"/>
      <c r="J58" s="73"/>
    </row>
    <row r="59" spans="2:10" ht="15.75">
      <c r="B59" s="82" t="s">
        <v>166</v>
      </c>
      <c r="C59" s="73"/>
      <c r="D59" s="73"/>
      <c r="E59" s="73"/>
      <c r="F59" s="73"/>
      <c r="G59" s="73"/>
      <c r="H59" s="73"/>
      <c r="I59" s="73"/>
      <c r="J59" s="73"/>
    </row>
    <row r="60" spans="2:10" ht="15">
      <c r="B60" s="73"/>
      <c r="C60" s="73"/>
      <c r="D60" s="73"/>
      <c r="E60" s="73"/>
      <c r="F60" s="73"/>
      <c r="G60" s="73"/>
      <c r="H60" s="73"/>
      <c r="I60" s="73"/>
      <c r="J60" s="73"/>
    </row>
    <row r="61" spans="2:10" ht="15">
      <c r="B61" s="75" t="s">
        <v>167</v>
      </c>
      <c r="C61" s="73"/>
      <c r="D61" s="73"/>
      <c r="E61" s="73"/>
      <c r="F61" s="73"/>
      <c r="G61" s="73"/>
      <c r="H61" s="73"/>
      <c r="I61" s="73"/>
      <c r="J61" s="73"/>
    </row>
    <row r="62" spans="2:10" ht="15">
      <c r="B62" s="73" t="s">
        <v>168</v>
      </c>
      <c r="C62" s="73"/>
      <c r="D62" s="73"/>
      <c r="E62" s="73"/>
      <c r="F62" s="73"/>
      <c r="G62" s="73"/>
      <c r="H62" s="73"/>
      <c r="I62" s="73"/>
      <c r="J62" s="73"/>
    </row>
    <row r="63" spans="2:10" ht="15">
      <c r="B63" s="73" t="s">
        <v>169</v>
      </c>
      <c r="C63" s="73"/>
      <c r="D63" s="73"/>
      <c r="E63" s="73"/>
      <c r="F63" s="73"/>
      <c r="G63" s="73"/>
      <c r="H63" s="73"/>
      <c r="I63" s="73"/>
      <c r="J63" s="73"/>
    </row>
    <row r="64" spans="2:10" ht="15">
      <c r="B64" s="73"/>
      <c r="C64" s="73"/>
      <c r="D64" s="73"/>
      <c r="E64" s="73"/>
      <c r="F64" s="73"/>
      <c r="G64" s="73"/>
      <c r="H64" s="73"/>
      <c r="I64" s="73"/>
      <c r="J64" s="73"/>
    </row>
    <row r="65" spans="1:10" ht="15">
      <c r="A65" s="41"/>
      <c r="B65" s="75" t="s">
        <v>170</v>
      </c>
      <c r="C65" s="73"/>
      <c r="D65" s="73"/>
      <c r="E65" s="73"/>
      <c r="F65" s="73"/>
      <c r="G65" s="73"/>
      <c r="H65" s="73"/>
      <c r="I65" s="73"/>
      <c r="J65" s="73"/>
    </row>
    <row r="66" spans="1:10" ht="15">
      <c r="A66" s="41"/>
      <c r="B66" s="73" t="s">
        <v>171</v>
      </c>
      <c r="C66" s="73"/>
      <c r="D66" s="73"/>
      <c r="E66" s="73"/>
      <c r="F66" s="73"/>
      <c r="G66" s="73"/>
      <c r="H66" s="73"/>
      <c r="I66" s="73"/>
      <c r="J66" s="73"/>
    </row>
    <row r="67" spans="2:10" ht="15">
      <c r="B67" s="74" t="s">
        <v>172</v>
      </c>
      <c r="C67" s="73"/>
      <c r="D67" s="73"/>
      <c r="E67" s="73"/>
      <c r="F67" s="73"/>
      <c r="G67" s="73"/>
      <c r="H67" s="73"/>
      <c r="I67" s="73"/>
      <c r="J67" s="73"/>
    </row>
    <row r="68" spans="2:10" ht="15">
      <c r="B68" s="73"/>
      <c r="C68" s="73"/>
      <c r="D68" s="73"/>
      <c r="E68" s="73"/>
      <c r="F68" s="73"/>
      <c r="G68" s="73"/>
      <c r="H68" s="73"/>
      <c r="I68" s="73"/>
      <c r="J68" s="73"/>
    </row>
    <row r="69" spans="2:10" ht="15.75">
      <c r="B69" s="76" t="s">
        <v>196</v>
      </c>
      <c r="C69" s="73"/>
      <c r="D69" s="73"/>
      <c r="E69" s="73"/>
      <c r="F69" s="73"/>
      <c r="G69" s="73"/>
      <c r="H69" s="73"/>
      <c r="I69" s="73"/>
      <c r="J69" s="73"/>
    </row>
    <row r="70" spans="2:10" ht="15">
      <c r="B70" s="73" t="s">
        <v>173</v>
      </c>
      <c r="C70" s="73"/>
      <c r="D70" s="73"/>
      <c r="E70" s="73"/>
      <c r="F70" s="73"/>
      <c r="G70" s="73"/>
      <c r="H70" s="73"/>
      <c r="I70" s="73"/>
      <c r="J70" s="73"/>
    </row>
    <row r="71" spans="2:10" ht="15">
      <c r="B71" s="73"/>
      <c r="C71" s="73"/>
      <c r="D71" s="73"/>
      <c r="E71" s="73"/>
      <c r="F71" s="73"/>
      <c r="G71" s="73"/>
      <c r="H71" s="73"/>
      <c r="I71" s="73"/>
      <c r="J71" s="73"/>
    </row>
    <row r="72" spans="2:10" ht="15.75">
      <c r="B72" s="76" t="s">
        <v>197</v>
      </c>
      <c r="C72" s="73"/>
      <c r="D72" s="73"/>
      <c r="E72" s="73"/>
      <c r="F72" s="73"/>
      <c r="G72" s="73"/>
      <c r="H72" s="73"/>
      <c r="I72" s="73"/>
      <c r="J72" s="73"/>
    </row>
    <row r="73" spans="2:10" ht="15">
      <c r="B73" s="73"/>
      <c r="C73" s="73"/>
      <c r="D73" s="73"/>
      <c r="E73" s="73"/>
      <c r="F73" s="73"/>
      <c r="G73" s="73"/>
      <c r="H73" s="73"/>
      <c r="I73" s="73"/>
      <c r="J73" s="73"/>
    </row>
    <row r="74" spans="2:10" ht="15.75">
      <c r="B74" s="83" t="s">
        <v>198</v>
      </c>
      <c r="C74" s="73"/>
      <c r="D74" s="73"/>
      <c r="E74" s="73"/>
      <c r="F74" s="73"/>
      <c r="G74" s="73"/>
      <c r="H74" s="73"/>
      <c r="I74" s="73"/>
      <c r="J74" s="73"/>
    </row>
    <row r="75" spans="2:10" ht="15">
      <c r="B75" s="73" t="s">
        <v>174</v>
      </c>
      <c r="C75" s="73"/>
      <c r="D75" s="73"/>
      <c r="E75" s="73"/>
      <c r="F75" s="73"/>
      <c r="G75" s="73"/>
      <c r="H75" s="73"/>
      <c r="I75" s="73"/>
      <c r="J75" s="73"/>
    </row>
    <row r="76" spans="2:10" ht="15">
      <c r="B76" s="73" t="s">
        <v>175</v>
      </c>
      <c r="C76" s="73"/>
      <c r="D76" s="73"/>
      <c r="E76" s="73"/>
      <c r="F76" s="73"/>
      <c r="G76" s="73"/>
      <c r="H76" s="73"/>
      <c r="I76" s="73"/>
      <c r="J76" s="73"/>
    </row>
    <row r="77" spans="2:10" ht="15">
      <c r="B77" s="73"/>
      <c r="C77" s="73"/>
      <c r="D77" s="73"/>
      <c r="E77" s="73"/>
      <c r="F77" s="73"/>
      <c r="G77" s="73"/>
      <c r="H77" s="73"/>
      <c r="I77" s="73"/>
      <c r="J77" s="73"/>
    </row>
    <row r="78" spans="2:10" ht="15">
      <c r="B78" s="73" t="s">
        <v>176</v>
      </c>
      <c r="C78" s="73"/>
      <c r="D78" s="73"/>
      <c r="E78" s="73"/>
      <c r="F78" s="73"/>
      <c r="G78" s="73"/>
      <c r="H78" s="73"/>
      <c r="I78" s="73"/>
      <c r="J78" s="73"/>
    </row>
    <row r="79" spans="2:10" ht="15">
      <c r="B79" s="73" t="s">
        <v>177</v>
      </c>
      <c r="C79" s="73"/>
      <c r="D79" s="73"/>
      <c r="E79" s="73"/>
      <c r="F79" s="73"/>
      <c r="G79" s="73"/>
      <c r="H79" s="73"/>
      <c r="I79" s="73"/>
      <c r="J79" s="73"/>
    </row>
    <row r="80" spans="2:10" ht="15">
      <c r="B80" s="74" t="s">
        <v>178</v>
      </c>
      <c r="C80" s="73"/>
      <c r="D80" s="73"/>
      <c r="E80" s="73"/>
      <c r="F80" s="73"/>
      <c r="G80" s="73"/>
      <c r="H80" s="73"/>
      <c r="I80" s="73"/>
      <c r="J80" s="73"/>
    </row>
    <row r="81" spans="2:10" ht="15">
      <c r="B81" s="73"/>
      <c r="C81" s="73"/>
      <c r="D81" s="73"/>
      <c r="E81" s="73"/>
      <c r="F81" s="73"/>
      <c r="G81" s="73"/>
      <c r="H81" s="73"/>
      <c r="I81" s="73"/>
      <c r="J81" s="73"/>
    </row>
    <row r="82" spans="2:10" ht="15">
      <c r="B82" s="74" t="s">
        <v>179</v>
      </c>
      <c r="C82" s="73"/>
      <c r="D82" s="73"/>
      <c r="E82" s="73"/>
      <c r="F82" s="73"/>
      <c r="G82" s="73"/>
      <c r="H82" s="73"/>
      <c r="I82" s="73"/>
      <c r="J82" s="73"/>
    </row>
    <row r="83" spans="2:10" ht="15">
      <c r="B83" s="73" t="s">
        <v>180</v>
      </c>
      <c r="C83" s="73"/>
      <c r="D83" s="73"/>
      <c r="E83" s="73"/>
      <c r="F83" s="73"/>
      <c r="G83" s="73"/>
      <c r="H83" s="73"/>
      <c r="I83" s="73"/>
      <c r="J83" s="73"/>
    </row>
    <row r="84" spans="2:10" ht="15">
      <c r="B84" s="73" t="s">
        <v>181</v>
      </c>
      <c r="C84" s="73"/>
      <c r="D84" s="73"/>
      <c r="E84" s="73"/>
      <c r="F84" s="73"/>
      <c r="G84" s="73"/>
      <c r="H84" s="73"/>
      <c r="I84" s="73"/>
      <c r="J84" s="73"/>
    </row>
    <row r="85" spans="2:10" ht="15">
      <c r="B85" s="73" t="s">
        <v>182</v>
      </c>
      <c r="C85" s="73"/>
      <c r="D85" s="73"/>
      <c r="E85" s="73"/>
      <c r="F85" s="73"/>
      <c r="G85" s="73"/>
      <c r="H85" s="73"/>
      <c r="I85" s="73"/>
      <c r="J85" s="73"/>
    </row>
    <row r="86" spans="2:10" ht="15">
      <c r="B86" s="73"/>
      <c r="C86" s="73"/>
      <c r="D86" s="73"/>
      <c r="E86" s="73"/>
      <c r="F86" s="73"/>
      <c r="G86" s="73"/>
      <c r="H86" s="73"/>
      <c r="I86" s="73"/>
      <c r="J86" s="73"/>
    </row>
    <row r="87" spans="2:10" ht="15">
      <c r="B87" s="74" t="s">
        <v>183</v>
      </c>
      <c r="C87" s="73"/>
      <c r="D87" s="73"/>
      <c r="E87" s="73"/>
      <c r="F87" s="73"/>
      <c r="G87" s="73"/>
      <c r="H87" s="73"/>
      <c r="I87" s="73"/>
      <c r="J87" s="73"/>
    </row>
    <row r="88" spans="2:10" ht="15">
      <c r="B88" s="73"/>
      <c r="C88" s="73"/>
      <c r="D88" s="73"/>
      <c r="E88" s="73"/>
      <c r="F88" s="73"/>
      <c r="G88" s="73"/>
      <c r="H88" s="73"/>
      <c r="I88" s="73"/>
      <c r="J88" s="73"/>
    </row>
    <row r="89" spans="2:10" ht="15.75">
      <c r="B89" s="82" t="s">
        <v>199</v>
      </c>
      <c r="C89" s="73"/>
      <c r="D89" s="73"/>
      <c r="E89" s="73"/>
      <c r="F89" s="73"/>
      <c r="G89" s="73"/>
      <c r="H89" s="73"/>
      <c r="I89" s="73"/>
      <c r="J89" s="73"/>
    </row>
    <row r="90" spans="2:10" ht="15">
      <c r="B90" s="73"/>
      <c r="C90" s="73"/>
      <c r="D90" s="73"/>
      <c r="E90" s="73"/>
      <c r="F90" s="73"/>
      <c r="G90" s="73"/>
      <c r="H90" s="73"/>
      <c r="I90" s="73"/>
      <c r="J90" s="73"/>
    </row>
    <row r="91" spans="2:10" ht="15.75">
      <c r="B91" s="76" t="s">
        <v>200</v>
      </c>
      <c r="C91" s="73"/>
      <c r="D91" s="73"/>
      <c r="E91" s="73"/>
      <c r="F91" s="73"/>
      <c r="G91" s="73"/>
      <c r="H91" s="73"/>
      <c r="I91" s="73"/>
      <c r="J91" s="73"/>
    </row>
    <row r="92" spans="2:10" ht="15">
      <c r="B92" s="74" t="s">
        <v>184</v>
      </c>
      <c r="C92" s="73"/>
      <c r="D92" s="73"/>
      <c r="E92" s="73"/>
      <c r="F92" s="73"/>
      <c r="G92" s="73"/>
      <c r="H92" s="73"/>
      <c r="I92" s="73"/>
      <c r="J92" s="73"/>
    </row>
    <row r="93" spans="2:10" ht="15">
      <c r="B93" s="73"/>
      <c r="C93" s="73"/>
      <c r="D93" s="73"/>
      <c r="E93" s="73"/>
      <c r="F93" s="73"/>
      <c r="G93" s="73"/>
      <c r="H93" s="73"/>
      <c r="I93" s="73"/>
      <c r="J93" s="73"/>
    </row>
    <row r="94" spans="2:10" ht="15.75">
      <c r="B94" s="76" t="s">
        <v>201</v>
      </c>
      <c r="C94" s="73"/>
      <c r="D94" s="73"/>
      <c r="E94" s="73"/>
      <c r="F94" s="73"/>
      <c r="G94" s="73"/>
      <c r="H94" s="73"/>
      <c r="I94" s="73"/>
      <c r="J94" s="73"/>
    </row>
    <row r="95" spans="2:10" ht="15">
      <c r="B95" s="73" t="s">
        <v>185</v>
      </c>
      <c r="C95" s="73"/>
      <c r="D95" s="73"/>
      <c r="E95" s="73"/>
      <c r="F95" s="73"/>
      <c r="G95" s="73"/>
      <c r="H95" s="73"/>
      <c r="I95" s="73"/>
      <c r="J95" s="73"/>
    </row>
    <row r="96" spans="2:10" ht="15">
      <c r="B96" s="74" t="s">
        <v>186</v>
      </c>
      <c r="C96" s="73"/>
      <c r="D96" s="73"/>
      <c r="E96" s="73"/>
      <c r="F96" s="73"/>
      <c r="G96" s="73"/>
      <c r="H96" s="73"/>
      <c r="I96" s="73"/>
      <c r="J96" s="73"/>
    </row>
    <row r="120" ht="12"/>
  </sheetData>
  <sheetProtection/>
  <printOptions/>
  <pageMargins left="0.75" right="0.75" top="1" bottom="1" header="0.5" footer="0.5"/>
  <pageSetup horizontalDpi="600" verticalDpi="600" orientation="portrait" r:id="rId4"/>
  <headerFooter alignWithMargins="0">
    <oddHeader>&amp;C&amp;A</oddHeader>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11"/>
  <dimension ref="A1:B6"/>
  <sheetViews>
    <sheetView zoomScalePageLayoutView="0" workbookViewId="0" topLeftCell="A1">
      <selection activeCell="D8" sqref="D8"/>
    </sheetView>
  </sheetViews>
  <sheetFormatPr defaultColWidth="9.140625" defaultRowHeight="12"/>
  <sheetData>
    <row r="1" spans="1:2" ht="12">
      <c r="A1" t="s">
        <v>187</v>
      </c>
      <c r="B1" t="s">
        <v>188</v>
      </c>
    </row>
    <row r="6" ht="15.75">
      <c r="A6" s="44" t="s">
        <v>189</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1" transitionEvaluation="1" transitionEntry="1"/>
  <dimension ref="A1:AD417"/>
  <sheetViews>
    <sheetView zoomScalePageLayoutView="0" workbookViewId="0" topLeftCell="A1">
      <pane ySplit="12" topLeftCell="A13" activePane="bottomLeft" state="frozen"/>
      <selection pane="topLeft" activeCell="A1" sqref="A1"/>
      <selection pane="bottomLeft" activeCell="A1" sqref="A1"/>
    </sheetView>
  </sheetViews>
  <sheetFormatPr defaultColWidth="9.7109375" defaultRowHeight="12"/>
  <cols>
    <col min="1" max="8" width="15.7109375" style="33" customWidth="1"/>
    <col min="9" max="9" width="15.7109375" style="29" customWidth="1"/>
    <col min="10" max="16" width="15.7109375" style="1" customWidth="1"/>
    <col min="17" max="17" width="5.7109375" style="1" customWidth="1"/>
    <col min="18" max="16384" width="9.7109375" style="1" customWidth="1"/>
  </cols>
  <sheetData>
    <row r="1" spans="1:22" s="27" customFormat="1" ht="20.25">
      <c r="A1" s="69"/>
      <c r="B1" s="67"/>
      <c r="C1" s="34" t="s">
        <v>0</v>
      </c>
      <c r="D1" s="35"/>
      <c r="E1" s="1"/>
      <c r="F1" s="29"/>
      <c r="G1" s="35"/>
      <c r="H1" s="1"/>
      <c r="I1" s="36"/>
      <c r="K1" s="42" t="s">
        <v>1</v>
      </c>
      <c r="L1" s="48"/>
      <c r="P1" s="71"/>
      <c r="Q1" s="72"/>
      <c r="R1" s="70"/>
      <c r="S1" s="45"/>
      <c r="T1" s="40"/>
      <c r="U1" s="40"/>
      <c r="V1" s="37"/>
    </row>
    <row r="2" spans="1:22" s="27" customFormat="1" ht="15.75">
      <c r="A2" s="84"/>
      <c r="B2" s="84"/>
      <c r="C2" s="84"/>
      <c r="D2" s="85"/>
      <c r="E2" s="86"/>
      <c r="F2" s="87" t="s">
        <v>2</v>
      </c>
      <c r="G2" s="88"/>
      <c r="H2" s="86"/>
      <c r="I2" s="89"/>
      <c r="J2" s="90"/>
      <c r="K2" s="90"/>
      <c r="L2" s="90"/>
      <c r="M2" s="90"/>
      <c r="N2" s="90"/>
      <c r="O2" s="90"/>
      <c r="P2" s="90"/>
      <c r="Q2" s="91"/>
      <c r="R2" s="49">
        <v>7</v>
      </c>
      <c r="S2" s="50" t="s">
        <v>3</v>
      </c>
      <c r="T2" s="40"/>
      <c r="U2" s="40"/>
      <c r="V2" s="37"/>
    </row>
    <row r="3" spans="1:22" s="27" customFormat="1" ht="15.75">
      <c r="A3" s="92" t="s">
        <v>4</v>
      </c>
      <c r="B3" s="84"/>
      <c r="C3" s="84"/>
      <c r="D3" s="93">
        <v>750000</v>
      </c>
      <c r="E3" s="86"/>
      <c r="F3" s="94">
        <f>IF(AND(AND(AND(AND(D5&gt;=1,D6&gt;=1),D7&gt;=1),D3&gt;=0),D4&gt;=0),IF(D4=0,D3/D5/D6,((1+(D4/(D7*100)))^(D7/D6)-1)/(1-((1/(1+((1+(D4/(D7*100)))^(D7/D6)-1))^(D6*D5))))*D3),#VALUE!)</f>
        <v>51584.162892919696</v>
      </c>
      <c r="G3" s="95"/>
      <c r="H3" s="86"/>
      <c r="I3" s="89"/>
      <c r="J3" s="86"/>
      <c r="K3" s="96" t="s">
        <v>5</v>
      </c>
      <c r="L3" s="86"/>
      <c r="M3" s="86"/>
      <c r="N3" s="97">
        <v>1</v>
      </c>
      <c r="O3" s="90"/>
      <c r="P3" s="90"/>
      <c r="Q3" s="91"/>
      <c r="R3" s="45"/>
      <c r="S3" s="45"/>
      <c r="T3" s="40"/>
      <c r="U3" s="40"/>
      <c r="V3" s="37"/>
    </row>
    <row r="4" spans="1:22" s="27" customFormat="1" ht="15.75">
      <c r="A4" s="98" t="s">
        <v>6</v>
      </c>
      <c r="B4" s="84"/>
      <c r="C4" s="84"/>
      <c r="D4" s="99">
        <v>6.5</v>
      </c>
      <c r="E4" s="86"/>
      <c r="F4" s="100" t="s">
        <v>7</v>
      </c>
      <c r="G4" s="95"/>
      <c r="H4" s="86"/>
      <c r="I4" s="89"/>
      <c r="J4" s="86"/>
      <c r="K4" s="96" t="s">
        <v>8</v>
      </c>
      <c r="L4" s="101"/>
      <c r="M4" s="86"/>
      <c r="N4" s="97">
        <v>12</v>
      </c>
      <c r="O4" s="90"/>
      <c r="P4" s="102"/>
      <c r="Q4" s="91"/>
      <c r="R4" s="45"/>
      <c r="S4" s="68"/>
      <c r="T4" s="40"/>
      <c r="U4" s="40"/>
      <c r="V4" s="37"/>
    </row>
    <row r="5" spans="1:30" s="27" customFormat="1" ht="15.75">
      <c r="A5" s="92" t="s">
        <v>9</v>
      </c>
      <c r="B5" s="84"/>
      <c r="C5" s="84"/>
      <c r="D5" s="99">
        <v>10</v>
      </c>
      <c r="E5" s="86"/>
      <c r="F5" s="103">
        <f>F3*D5*D6-D3</f>
        <v>281683.25785839395</v>
      </c>
      <c r="G5" s="104"/>
      <c r="H5" s="86"/>
      <c r="I5" s="89"/>
      <c r="J5" s="90"/>
      <c r="K5" s="90"/>
      <c r="L5" s="105" t="s">
        <v>10</v>
      </c>
      <c r="M5" s="106"/>
      <c r="N5" s="106"/>
      <c r="O5" s="107"/>
      <c r="P5" s="90"/>
      <c r="Q5" s="91"/>
      <c r="R5" s="45"/>
      <c r="S5" s="68"/>
      <c r="T5" s="40"/>
      <c r="U5" s="40"/>
      <c r="V5" s="37"/>
      <c r="AD5" s="37"/>
    </row>
    <row r="6" spans="1:30" s="27" customFormat="1" ht="15.75">
      <c r="A6" s="108" t="s">
        <v>11</v>
      </c>
      <c r="B6" s="84"/>
      <c r="C6" s="109"/>
      <c r="D6" s="110">
        <v>2</v>
      </c>
      <c r="E6" s="86"/>
      <c r="F6" s="100" t="s">
        <v>12</v>
      </c>
      <c r="G6" s="104"/>
      <c r="H6" s="86"/>
      <c r="I6" s="89"/>
      <c r="J6" s="86"/>
      <c r="K6" s="86"/>
      <c r="L6" s="111" t="s">
        <v>13</v>
      </c>
      <c r="M6" s="86"/>
      <c r="N6" s="112">
        <f>N7+N8</f>
        <v>619009.9200000002</v>
      </c>
      <c r="O6" s="86"/>
      <c r="P6" s="113"/>
      <c r="Q6" s="91"/>
      <c r="R6" s="45"/>
      <c r="S6" s="45"/>
      <c r="T6" s="40"/>
      <c r="U6" s="40"/>
      <c r="V6" s="37"/>
      <c r="AD6" s="38"/>
    </row>
    <row r="7" spans="1:30" s="27" customFormat="1" ht="15.75">
      <c r="A7" s="108" t="s">
        <v>14</v>
      </c>
      <c r="B7" s="84"/>
      <c r="C7" s="84"/>
      <c r="D7" s="110">
        <v>2</v>
      </c>
      <c r="E7" s="86"/>
      <c r="F7" s="114" t="s">
        <v>15</v>
      </c>
      <c r="G7" s="115"/>
      <c r="H7" s="86"/>
      <c r="I7" s="89"/>
      <c r="J7" s="86"/>
      <c r="K7" s="86"/>
      <c r="L7" s="111" t="s">
        <v>16</v>
      </c>
      <c r="M7" s="90"/>
      <c r="N7" s="112">
        <f>VLOOKUP($N$4,$K$13:$N$413,3)-VLOOKUP($N$3-1,$K$13:$N$413,3)</f>
        <v>227326.27999999997</v>
      </c>
      <c r="O7" s="86"/>
      <c r="P7" s="113"/>
      <c r="Q7" s="91"/>
      <c r="R7" s="46"/>
      <c r="S7" s="40"/>
      <c r="T7" s="40"/>
      <c r="U7" s="40"/>
      <c r="V7" s="37"/>
      <c r="AD7" s="37"/>
    </row>
    <row r="8" spans="1:30" s="27" customFormat="1" ht="15.75">
      <c r="A8" s="116">
        <f>IF(D6&lt;1,"     WARNING: PAYMENTS PER YEAR SHOULD BE AT LEAST 1 ",IF(D4&lt;0,"        Warning: Interest rate must be at least 0",""))</f>
      </c>
      <c r="B8" s="84"/>
      <c r="C8" s="84"/>
      <c r="D8" s="84"/>
      <c r="E8" s="86"/>
      <c r="F8" s="103">
        <f>IF(D5*D6&gt;400,"Can not calculate",SUM(D14:D413))</f>
        <v>281683.26999999996</v>
      </c>
      <c r="G8" s="117"/>
      <c r="H8" s="86"/>
      <c r="I8" s="89"/>
      <c r="J8" s="86"/>
      <c r="K8" s="86"/>
      <c r="L8" s="111" t="s">
        <v>17</v>
      </c>
      <c r="M8" s="90"/>
      <c r="N8" s="112">
        <f>VLOOKUP($N$4,$K$13:$N$413,4)-VLOOKUP($N$3-1,$K$13:$N$413,4)</f>
        <v>391683.6400000002</v>
      </c>
      <c r="O8" s="86"/>
      <c r="P8" s="113"/>
      <c r="Q8" s="91"/>
      <c r="R8" s="47"/>
      <c r="S8" s="37"/>
      <c r="T8" s="37"/>
      <c r="U8" s="37"/>
      <c r="V8" s="37"/>
      <c r="AD8" s="39"/>
    </row>
    <row r="9" spans="1:22" s="27" customFormat="1" ht="15.75">
      <c r="A9" s="116">
        <f>IF(D5&lt;1,"  WARNING: LENGTH IS LESS THAN ONE YEAR: DOUBLE CHECK INPUT",IF(D3&lt;=0,"       Warning: Loan Amount must be greater than 0",""))</f>
      </c>
      <c r="B9" s="84"/>
      <c r="C9" s="84"/>
      <c r="D9" s="84"/>
      <c r="E9" s="86"/>
      <c r="F9" s="118">
        <f>IF(D5*D6&gt;400,"more than 400 payments","")</f>
      </c>
      <c r="G9" s="86"/>
      <c r="H9" s="86"/>
      <c r="I9" s="89"/>
      <c r="J9" s="86"/>
      <c r="K9" s="119">
        <f>IF(N6&lt;=0,"Please correct your choice of payment numbers ","")</f>
      </c>
      <c r="L9" s="111"/>
      <c r="M9" s="90"/>
      <c r="N9" s="90"/>
      <c r="O9" s="90"/>
      <c r="P9" s="90"/>
      <c r="Q9" s="91"/>
      <c r="R9" s="47"/>
      <c r="S9" s="37"/>
      <c r="T9" s="37"/>
      <c r="U9" s="37"/>
      <c r="V9" s="37"/>
    </row>
    <row r="10" spans="1:22" s="27" customFormat="1" ht="15.75">
      <c r="A10" s="120">
        <f>IF(D7&lt;1,"  WARNING: NUMBER OF COMPOUNDING PERIODS SHOULD BE AT LEAST ONE PER YEAR","")</f>
      </c>
      <c r="B10" s="121"/>
      <c r="C10" s="122"/>
      <c r="D10" s="122"/>
      <c r="E10" s="123"/>
      <c r="F10" s="124"/>
      <c r="G10" s="124"/>
      <c r="H10" s="123"/>
      <c r="I10" s="125"/>
      <c r="J10" s="90"/>
      <c r="K10" s="90"/>
      <c r="L10" s="90"/>
      <c r="M10" s="90"/>
      <c r="N10" s="90"/>
      <c r="O10" s="90"/>
      <c r="P10" s="90"/>
      <c r="Q10" s="91"/>
      <c r="R10" s="37"/>
      <c r="S10" s="37"/>
      <c r="T10" s="37"/>
      <c r="U10" s="37"/>
      <c r="V10" s="37"/>
    </row>
    <row r="11" spans="1:22" s="27" customFormat="1" ht="15.75">
      <c r="A11" s="126"/>
      <c r="B11" s="127" t="s">
        <v>18</v>
      </c>
      <c r="C11" s="128" t="s">
        <v>19</v>
      </c>
      <c r="D11" s="129" t="s">
        <v>20</v>
      </c>
      <c r="E11" s="129" t="s">
        <v>21</v>
      </c>
      <c r="F11" s="127" t="s">
        <v>22</v>
      </c>
      <c r="G11" s="130" t="s">
        <v>23</v>
      </c>
      <c r="H11" s="131"/>
      <c r="I11" s="132"/>
      <c r="J11" s="133"/>
      <c r="K11" s="134"/>
      <c r="L11" s="135" t="s">
        <v>24</v>
      </c>
      <c r="M11" s="135" t="s">
        <v>25</v>
      </c>
      <c r="N11" s="135" t="s">
        <v>26</v>
      </c>
      <c r="O11" s="134"/>
      <c r="P11" s="134"/>
      <c r="Q11" s="91"/>
      <c r="R11" s="37"/>
      <c r="S11" s="37"/>
      <c r="T11" s="37"/>
      <c r="U11" s="37"/>
      <c r="V11" s="37"/>
    </row>
    <row r="12" spans="1:22" s="27" customFormat="1" ht="15">
      <c r="A12" s="136" t="s">
        <v>27</v>
      </c>
      <c r="B12" s="136" t="s">
        <v>28</v>
      </c>
      <c r="C12" s="136" t="s">
        <v>29</v>
      </c>
      <c r="D12" s="137" t="s">
        <v>30</v>
      </c>
      <c r="E12" s="137" t="s">
        <v>30</v>
      </c>
      <c r="F12" s="136" t="s">
        <v>31</v>
      </c>
      <c r="G12" s="136" t="s">
        <v>32</v>
      </c>
      <c r="H12" s="138"/>
      <c r="I12" s="139"/>
      <c r="J12" s="133"/>
      <c r="K12" s="135" t="s">
        <v>27</v>
      </c>
      <c r="L12" s="140" t="s">
        <v>33</v>
      </c>
      <c r="M12" s="135" t="s">
        <v>34</v>
      </c>
      <c r="N12" s="135" t="s">
        <v>35</v>
      </c>
      <c r="O12" s="134"/>
      <c r="P12" s="134"/>
      <c r="Q12" s="91"/>
      <c r="R12" s="37"/>
      <c r="S12" s="37"/>
      <c r="T12" s="37"/>
      <c r="U12" s="37"/>
      <c r="V12" s="37"/>
    </row>
    <row r="13" spans="1:22" s="27" customFormat="1" ht="15.75">
      <c r="A13" s="141"/>
      <c r="B13" s="142">
        <f>D3</f>
        <v>750000</v>
      </c>
      <c r="C13" s="143"/>
      <c r="D13" s="144"/>
      <c r="E13" s="141"/>
      <c r="F13" s="144"/>
      <c r="G13" s="142">
        <f>D3</f>
        <v>750000</v>
      </c>
      <c r="H13" s="145"/>
      <c r="I13" s="146"/>
      <c r="J13" s="86"/>
      <c r="K13" s="147">
        <v>0</v>
      </c>
      <c r="L13" s="147">
        <v>0</v>
      </c>
      <c r="M13" s="147">
        <v>0</v>
      </c>
      <c r="N13" s="147">
        <v>0</v>
      </c>
      <c r="O13" s="90"/>
      <c r="P13" s="90"/>
      <c r="Q13" s="91"/>
      <c r="R13" s="37"/>
      <c r="S13" s="37"/>
      <c r="T13" s="37"/>
      <c r="U13" s="37"/>
      <c r="V13" s="37"/>
    </row>
    <row r="14" spans="1:22" s="27" customFormat="1" ht="15.75">
      <c r="A14" s="148">
        <v>1</v>
      </c>
      <c r="B14" s="149">
        <f>D3</f>
        <v>750000</v>
      </c>
      <c r="C14" s="150">
        <f>ROUND(IF(B14+D14&lt;$F$3,B14+D14,$F$3),2)</f>
        <v>51584.16</v>
      </c>
      <c r="D14" s="149">
        <f>ROUND(((1+(D4/($D$7*100)))^($D$7/$D$6)-1)*B14,2)</f>
        <v>24375</v>
      </c>
      <c r="E14" s="149">
        <f>C14-D14+F14</f>
        <v>27209.160000000003</v>
      </c>
      <c r="F14" s="151">
        <v>0</v>
      </c>
      <c r="G14" s="149">
        <f>ROUND(B14-E14,2)</f>
        <v>722790.84</v>
      </c>
      <c r="H14" s="152"/>
      <c r="I14" s="146"/>
      <c r="J14" s="86"/>
      <c r="K14" s="90">
        <f aca="true" t="shared" si="0" ref="K14:K77">A14</f>
        <v>1</v>
      </c>
      <c r="L14" s="153">
        <f>C14+F14</f>
        <v>51584.16</v>
      </c>
      <c r="M14" s="153">
        <f>D14</f>
        <v>24375</v>
      </c>
      <c r="N14" s="153">
        <f>L14-M14</f>
        <v>27209.160000000003</v>
      </c>
      <c r="O14" s="90"/>
      <c r="P14" s="154"/>
      <c r="Q14" s="91"/>
      <c r="R14" s="37"/>
      <c r="S14" s="37"/>
      <c r="T14" s="37"/>
      <c r="U14" s="37"/>
      <c r="V14" s="37"/>
    </row>
    <row r="15" spans="1:22" s="27" customFormat="1" ht="15.75">
      <c r="A15" s="148">
        <f>IF(G14=0,"",1+A14)</f>
        <v>2</v>
      </c>
      <c r="B15" s="149">
        <f>IF(G14=0,"",ROUND(G14,2))</f>
        <v>722790.84</v>
      </c>
      <c r="C15" s="150">
        <f aca="true" t="shared" si="1" ref="C15:C78">IF(G14=0,"",ROUND(IF(B15+D15&lt;$F$3,B15+D15,$F$3),2))</f>
        <v>51584.16</v>
      </c>
      <c r="D15" s="149">
        <f aca="true" t="shared" si="2" ref="D15:D78">IF(G14=0,"",ROUND(((1+($D$4/($D$7*100)))^($D$7/$D$6)-1)*B15,2))</f>
        <v>23490.7</v>
      </c>
      <c r="E15" s="149">
        <f>IF(G14=0,"",C15-D15+F15)</f>
        <v>28093.460000000003</v>
      </c>
      <c r="F15" s="151">
        <v>0</v>
      </c>
      <c r="G15" s="149">
        <f>IF(G14=0,"",ROUND(B15-E15,2))</f>
        <v>694697.38</v>
      </c>
      <c r="H15" s="152"/>
      <c r="I15" s="146"/>
      <c r="J15" s="86"/>
      <c r="K15" s="90">
        <f t="shared" si="0"/>
        <v>2</v>
      </c>
      <c r="L15" s="153">
        <f>IF(G14=0,"",C15+F15+L14)</f>
        <v>103168.32</v>
      </c>
      <c r="M15" s="153">
        <f>IF(G14=0,"",M14+D15)</f>
        <v>47865.7</v>
      </c>
      <c r="N15" s="153">
        <f>IF(G14=0,"",L15-M15)</f>
        <v>55302.62000000001</v>
      </c>
      <c r="O15" s="90"/>
      <c r="P15" s="154"/>
      <c r="Q15" s="91"/>
      <c r="R15" s="37"/>
      <c r="S15" s="37"/>
      <c r="T15" s="37"/>
      <c r="U15" s="37"/>
      <c r="V15" s="37"/>
    </row>
    <row r="16" spans="1:22" s="27" customFormat="1" ht="15.75">
      <c r="A16" s="148">
        <f aca="true" t="shared" si="3" ref="A16:A31">IF(G15=0,"",1+A15)</f>
        <v>3</v>
      </c>
      <c r="B16" s="149">
        <f aca="true" t="shared" si="4" ref="B16:B31">IF(G15=0,"",ROUND(G15,2))</f>
        <v>694697.38</v>
      </c>
      <c r="C16" s="150">
        <f t="shared" si="1"/>
        <v>51584.16</v>
      </c>
      <c r="D16" s="149">
        <f t="shared" si="2"/>
        <v>22577.66</v>
      </c>
      <c r="E16" s="149">
        <f aca="true" t="shared" si="5" ref="E16:E31">IF(G15=0,"",C16-D16+F16)</f>
        <v>29006.500000000004</v>
      </c>
      <c r="F16" s="151">
        <v>0</v>
      </c>
      <c r="G16" s="149">
        <f aca="true" t="shared" si="6" ref="G16:G31">IF(G15=0,"",ROUND(B16-E16,2))</f>
        <v>665690.88</v>
      </c>
      <c r="H16" s="152"/>
      <c r="I16" s="146"/>
      <c r="J16" s="86"/>
      <c r="K16" s="90">
        <f t="shared" si="0"/>
        <v>3</v>
      </c>
      <c r="L16" s="153">
        <f aca="true" t="shared" si="7" ref="L16:L31">IF(G15=0,"",C16+F16+L15)</f>
        <v>154752.48</v>
      </c>
      <c r="M16" s="153">
        <f aca="true" t="shared" si="8" ref="M16:M31">IF(G15=0,"",M15+D16)</f>
        <v>70443.36</v>
      </c>
      <c r="N16" s="153">
        <f aca="true" t="shared" si="9" ref="N16:N31">IF(G15=0,"",L16-M16)</f>
        <v>84309.12000000001</v>
      </c>
      <c r="O16" s="90"/>
      <c r="P16" s="154"/>
      <c r="Q16" s="91"/>
      <c r="R16" s="37"/>
      <c r="S16" s="37"/>
      <c r="T16" s="37"/>
      <c r="U16" s="37"/>
      <c r="V16" s="37"/>
    </row>
    <row r="17" spans="1:22" s="27" customFormat="1" ht="15.75">
      <c r="A17" s="148">
        <f t="shared" si="3"/>
        <v>4</v>
      </c>
      <c r="B17" s="149">
        <f t="shared" si="4"/>
        <v>665690.88</v>
      </c>
      <c r="C17" s="150">
        <f t="shared" si="1"/>
        <v>51584.16</v>
      </c>
      <c r="D17" s="149">
        <f t="shared" si="2"/>
        <v>21634.95</v>
      </c>
      <c r="E17" s="149">
        <f t="shared" si="5"/>
        <v>29949.210000000003</v>
      </c>
      <c r="F17" s="151">
        <v>0</v>
      </c>
      <c r="G17" s="149">
        <f t="shared" si="6"/>
        <v>635741.67</v>
      </c>
      <c r="H17" s="152"/>
      <c r="I17" s="146"/>
      <c r="J17" s="86"/>
      <c r="K17" s="90">
        <f t="shared" si="0"/>
        <v>4</v>
      </c>
      <c r="L17" s="153">
        <f t="shared" si="7"/>
        <v>206336.64</v>
      </c>
      <c r="M17" s="153">
        <f t="shared" si="8"/>
        <v>92078.31</v>
      </c>
      <c r="N17" s="153">
        <f t="shared" si="9"/>
        <v>114258.33000000002</v>
      </c>
      <c r="O17" s="90"/>
      <c r="P17" s="154"/>
      <c r="Q17" s="91"/>
      <c r="R17" s="37"/>
      <c r="S17" s="37"/>
      <c r="T17" s="37"/>
      <c r="U17" s="37"/>
      <c r="V17" s="37"/>
    </row>
    <row r="18" spans="1:22" s="27" customFormat="1" ht="15.75">
      <c r="A18" s="155">
        <f t="shared" si="3"/>
        <v>5</v>
      </c>
      <c r="B18" s="156">
        <f t="shared" si="4"/>
        <v>635741.67</v>
      </c>
      <c r="C18" s="150">
        <f t="shared" si="1"/>
        <v>51584.16</v>
      </c>
      <c r="D18" s="156">
        <f t="shared" si="2"/>
        <v>20661.6</v>
      </c>
      <c r="E18" s="149">
        <f t="shared" si="5"/>
        <v>30922.560000000005</v>
      </c>
      <c r="F18" s="151">
        <v>0</v>
      </c>
      <c r="G18" s="149">
        <f t="shared" si="6"/>
        <v>604819.11</v>
      </c>
      <c r="H18" s="152"/>
      <c r="I18" s="146"/>
      <c r="J18" s="86"/>
      <c r="K18" s="90">
        <f t="shared" si="0"/>
        <v>5</v>
      </c>
      <c r="L18" s="153">
        <f t="shared" si="7"/>
        <v>257920.80000000002</v>
      </c>
      <c r="M18" s="153">
        <f t="shared" si="8"/>
        <v>112739.91</v>
      </c>
      <c r="N18" s="153">
        <f t="shared" si="9"/>
        <v>145180.89</v>
      </c>
      <c r="O18" s="90"/>
      <c r="P18" s="154"/>
      <c r="Q18" s="91"/>
      <c r="R18" s="37"/>
      <c r="S18" s="37"/>
      <c r="T18" s="37"/>
      <c r="U18" s="37"/>
      <c r="V18" s="37"/>
    </row>
    <row r="19" spans="1:22" s="27" customFormat="1" ht="15.75">
      <c r="A19" s="148">
        <f t="shared" si="3"/>
        <v>6</v>
      </c>
      <c r="B19" s="149">
        <f t="shared" si="4"/>
        <v>604819.11</v>
      </c>
      <c r="C19" s="150">
        <f t="shared" si="1"/>
        <v>51584.16</v>
      </c>
      <c r="D19" s="149">
        <f t="shared" si="2"/>
        <v>19656.62</v>
      </c>
      <c r="E19" s="149">
        <f t="shared" si="5"/>
        <v>31927.540000000005</v>
      </c>
      <c r="F19" s="151">
        <v>0</v>
      </c>
      <c r="G19" s="149">
        <f t="shared" si="6"/>
        <v>572891.57</v>
      </c>
      <c r="H19" s="152"/>
      <c r="I19" s="146"/>
      <c r="J19" s="86"/>
      <c r="K19" s="90">
        <f t="shared" si="0"/>
        <v>6</v>
      </c>
      <c r="L19" s="153">
        <f t="shared" si="7"/>
        <v>309504.96</v>
      </c>
      <c r="M19" s="153">
        <f t="shared" si="8"/>
        <v>132396.53</v>
      </c>
      <c r="N19" s="153">
        <f t="shared" si="9"/>
        <v>177108.43000000002</v>
      </c>
      <c r="O19" s="153"/>
      <c r="P19" s="154"/>
      <c r="Q19" s="91"/>
      <c r="R19" s="37"/>
      <c r="S19" s="37"/>
      <c r="T19" s="37"/>
      <c r="U19" s="37"/>
      <c r="V19" s="37"/>
    </row>
    <row r="20" spans="1:22" s="27" customFormat="1" ht="15.75">
      <c r="A20" s="148">
        <f t="shared" si="3"/>
        <v>7</v>
      </c>
      <c r="B20" s="149">
        <f t="shared" si="4"/>
        <v>572891.57</v>
      </c>
      <c r="C20" s="150">
        <f t="shared" si="1"/>
        <v>51584.16</v>
      </c>
      <c r="D20" s="149">
        <f t="shared" si="2"/>
        <v>18618.98</v>
      </c>
      <c r="E20" s="149">
        <f t="shared" si="5"/>
        <v>32965.18000000001</v>
      </c>
      <c r="F20" s="151">
        <v>0</v>
      </c>
      <c r="G20" s="149">
        <f t="shared" si="6"/>
        <v>539926.39</v>
      </c>
      <c r="H20" s="152"/>
      <c r="I20" s="146"/>
      <c r="J20" s="86"/>
      <c r="K20" s="90">
        <f t="shared" si="0"/>
        <v>7</v>
      </c>
      <c r="L20" s="153">
        <f t="shared" si="7"/>
        <v>361089.12</v>
      </c>
      <c r="M20" s="153">
        <f t="shared" si="8"/>
        <v>151015.51</v>
      </c>
      <c r="N20" s="153">
        <f t="shared" si="9"/>
        <v>210073.61</v>
      </c>
      <c r="O20" s="86"/>
      <c r="P20" s="157"/>
      <c r="Q20" s="158"/>
      <c r="R20" s="28"/>
      <c r="S20" s="28"/>
      <c r="T20" s="37"/>
      <c r="U20" s="37"/>
      <c r="V20" s="37"/>
    </row>
    <row r="21" spans="1:22" s="27" customFormat="1" ht="15.75">
      <c r="A21" s="148">
        <f t="shared" si="3"/>
        <v>8</v>
      </c>
      <c r="B21" s="149">
        <f t="shared" si="4"/>
        <v>539926.39</v>
      </c>
      <c r="C21" s="150">
        <f t="shared" si="1"/>
        <v>51584.16</v>
      </c>
      <c r="D21" s="149">
        <f t="shared" si="2"/>
        <v>17547.61</v>
      </c>
      <c r="E21" s="149">
        <f t="shared" si="5"/>
        <v>34036.55</v>
      </c>
      <c r="F21" s="151">
        <v>0</v>
      </c>
      <c r="G21" s="149">
        <f t="shared" si="6"/>
        <v>505889.84</v>
      </c>
      <c r="H21" s="152"/>
      <c r="I21" s="146"/>
      <c r="J21" s="86"/>
      <c r="K21" s="90">
        <f t="shared" si="0"/>
        <v>8</v>
      </c>
      <c r="L21" s="153">
        <f t="shared" si="7"/>
        <v>412673.28</v>
      </c>
      <c r="M21" s="153">
        <f t="shared" si="8"/>
        <v>168563.12</v>
      </c>
      <c r="N21" s="153">
        <f t="shared" si="9"/>
        <v>244110.16000000003</v>
      </c>
      <c r="O21" s="86"/>
      <c r="P21" s="157"/>
      <c r="Q21" s="158"/>
      <c r="R21" s="28"/>
      <c r="S21" s="28"/>
      <c r="T21" s="37"/>
      <c r="U21" s="37"/>
      <c r="V21" s="37"/>
    </row>
    <row r="22" spans="1:22" s="27" customFormat="1" ht="15.75">
      <c r="A22" s="148">
        <f t="shared" si="3"/>
        <v>9</v>
      </c>
      <c r="B22" s="149">
        <f t="shared" si="4"/>
        <v>505889.84</v>
      </c>
      <c r="C22" s="150">
        <f t="shared" si="1"/>
        <v>51584.16</v>
      </c>
      <c r="D22" s="149">
        <f t="shared" si="2"/>
        <v>16441.42</v>
      </c>
      <c r="E22" s="149">
        <f t="shared" si="5"/>
        <v>35142.740000000005</v>
      </c>
      <c r="F22" s="151">
        <v>0</v>
      </c>
      <c r="G22" s="149">
        <f t="shared" si="6"/>
        <v>470747.1</v>
      </c>
      <c r="H22" s="152"/>
      <c r="I22" s="146"/>
      <c r="J22" s="86"/>
      <c r="K22" s="90">
        <f t="shared" si="0"/>
        <v>9</v>
      </c>
      <c r="L22" s="153">
        <f t="shared" si="7"/>
        <v>464257.44000000006</v>
      </c>
      <c r="M22" s="153">
        <f t="shared" si="8"/>
        <v>185004.53999999998</v>
      </c>
      <c r="N22" s="153">
        <f t="shared" si="9"/>
        <v>279252.9000000001</v>
      </c>
      <c r="O22" s="86"/>
      <c r="P22" s="157"/>
      <c r="Q22" s="158"/>
      <c r="R22" s="28"/>
      <c r="S22" s="28"/>
      <c r="T22" s="37"/>
      <c r="U22" s="37"/>
      <c r="V22" s="37"/>
    </row>
    <row r="23" spans="1:22" s="27" customFormat="1" ht="15.75">
      <c r="A23" s="148">
        <f t="shared" si="3"/>
        <v>10</v>
      </c>
      <c r="B23" s="149">
        <f t="shared" si="4"/>
        <v>470747.1</v>
      </c>
      <c r="C23" s="150">
        <f t="shared" si="1"/>
        <v>51584.16</v>
      </c>
      <c r="D23" s="149">
        <f t="shared" si="2"/>
        <v>15299.28</v>
      </c>
      <c r="E23" s="149">
        <f t="shared" si="5"/>
        <v>36284.880000000005</v>
      </c>
      <c r="F23" s="151">
        <v>0</v>
      </c>
      <c r="G23" s="149">
        <f t="shared" si="6"/>
        <v>434462.22</v>
      </c>
      <c r="H23" s="152"/>
      <c r="I23" s="146"/>
      <c r="J23" s="86"/>
      <c r="K23" s="90">
        <f t="shared" si="0"/>
        <v>10</v>
      </c>
      <c r="L23" s="153">
        <f t="shared" si="7"/>
        <v>515841.6000000001</v>
      </c>
      <c r="M23" s="153">
        <f t="shared" si="8"/>
        <v>200303.81999999998</v>
      </c>
      <c r="N23" s="153">
        <f t="shared" si="9"/>
        <v>315537.78000000014</v>
      </c>
      <c r="O23" s="86"/>
      <c r="P23" s="157"/>
      <c r="Q23" s="158"/>
      <c r="R23" s="28"/>
      <c r="S23" s="28"/>
      <c r="T23" s="37"/>
      <c r="U23" s="37"/>
      <c r="V23" s="37"/>
    </row>
    <row r="24" spans="1:22" s="27" customFormat="1" ht="15.75">
      <c r="A24" s="148">
        <f t="shared" si="3"/>
        <v>11</v>
      </c>
      <c r="B24" s="149">
        <f t="shared" si="4"/>
        <v>434462.22</v>
      </c>
      <c r="C24" s="150">
        <f t="shared" si="1"/>
        <v>51584.16</v>
      </c>
      <c r="D24" s="149">
        <f t="shared" si="2"/>
        <v>14120.02</v>
      </c>
      <c r="E24" s="149">
        <f t="shared" si="5"/>
        <v>37464.14</v>
      </c>
      <c r="F24" s="151">
        <v>0</v>
      </c>
      <c r="G24" s="149">
        <f t="shared" si="6"/>
        <v>396998.08</v>
      </c>
      <c r="H24" s="152"/>
      <c r="I24" s="146"/>
      <c r="J24" s="86"/>
      <c r="K24" s="90">
        <f t="shared" si="0"/>
        <v>11</v>
      </c>
      <c r="L24" s="153">
        <f t="shared" si="7"/>
        <v>567425.7600000001</v>
      </c>
      <c r="M24" s="153">
        <f t="shared" si="8"/>
        <v>214423.83999999997</v>
      </c>
      <c r="N24" s="153">
        <f t="shared" si="9"/>
        <v>353001.92000000016</v>
      </c>
      <c r="O24" s="86"/>
      <c r="P24" s="157"/>
      <c r="Q24" s="158"/>
      <c r="R24" s="28"/>
      <c r="S24" s="28"/>
      <c r="T24" s="37"/>
      <c r="U24" s="37"/>
      <c r="V24" s="37"/>
    </row>
    <row r="25" spans="1:22" s="27" customFormat="1" ht="15.75">
      <c r="A25" s="148">
        <f t="shared" si="3"/>
        <v>12</v>
      </c>
      <c r="B25" s="149">
        <f t="shared" si="4"/>
        <v>396998.08</v>
      </c>
      <c r="C25" s="150">
        <f t="shared" si="1"/>
        <v>51584.16</v>
      </c>
      <c r="D25" s="149">
        <f t="shared" si="2"/>
        <v>12902.44</v>
      </c>
      <c r="E25" s="149">
        <f t="shared" si="5"/>
        <v>38681.72</v>
      </c>
      <c r="F25" s="151">
        <v>0</v>
      </c>
      <c r="G25" s="149">
        <f t="shared" si="6"/>
        <v>358316.36</v>
      </c>
      <c r="H25" s="152"/>
      <c r="I25" s="146"/>
      <c r="J25" s="86"/>
      <c r="K25" s="90">
        <f t="shared" si="0"/>
        <v>12</v>
      </c>
      <c r="L25" s="153">
        <f t="shared" si="7"/>
        <v>619009.9200000002</v>
      </c>
      <c r="M25" s="153">
        <f t="shared" si="8"/>
        <v>227326.27999999997</v>
      </c>
      <c r="N25" s="153">
        <f t="shared" si="9"/>
        <v>391683.6400000002</v>
      </c>
      <c r="O25" s="86"/>
      <c r="P25" s="157"/>
      <c r="Q25" s="158"/>
      <c r="R25" s="28"/>
      <c r="S25" s="28"/>
      <c r="T25" s="37"/>
      <c r="U25" s="37"/>
      <c r="V25" s="37"/>
    </row>
    <row r="26" spans="1:22" s="27" customFormat="1" ht="15.75">
      <c r="A26" s="148">
        <f t="shared" si="3"/>
        <v>13</v>
      </c>
      <c r="B26" s="149">
        <f t="shared" si="4"/>
        <v>358316.36</v>
      </c>
      <c r="C26" s="150">
        <f t="shared" si="1"/>
        <v>51584.16</v>
      </c>
      <c r="D26" s="149">
        <f t="shared" si="2"/>
        <v>11645.28</v>
      </c>
      <c r="E26" s="149">
        <f t="shared" si="5"/>
        <v>39938.880000000005</v>
      </c>
      <c r="F26" s="151">
        <v>0</v>
      </c>
      <c r="G26" s="149">
        <f t="shared" si="6"/>
        <v>318377.48</v>
      </c>
      <c r="H26" s="152"/>
      <c r="I26" s="146"/>
      <c r="J26" s="86"/>
      <c r="K26" s="90">
        <f t="shared" si="0"/>
        <v>13</v>
      </c>
      <c r="L26" s="153">
        <f t="shared" si="7"/>
        <v>670594.0800000002</v>
      </c>
      <c r="M26" s="153">
        <f t="shared" si="8"/>
        <v>238971.55999999997</v>
      </c>
      <c r="N26" s="153">
        <f t="shared" si="9"/>
        <v>431622.52000000025</v>
      </c>
      <c r="O26" s="86"/>
      <c r="P26" s="86"/>
      <c r="Q26" s="158"/>
      <c r="R26" s="28"/>
      <c r="S26" s="28"/>
      <c r="T26" s="37"/>
      <c r="U26" s="37"/>
      <c r="V26" s="37"/>
    </row>
    <row r="27" spans="1:22" s="27" customFormat="1" ht="15.75">
      <c r="A27" s="148">
        <f t="shared" si="3"/>
        <v>14</v>
      </c>
      <c r="B27" s="149">
        <f t="shared" si="4"/>
        <v>318377.48</v>
      </c>
      <c r="C27" s="150">
        <f t="shared" si="1"/>
        <v>51584.16</v>
      </c>
      <c r="D27" s="149">
        <f t="shared" si="2"/>
        <v>10347.27</v>
      </c>
      <c r="E27" s="149">
        <f t="shared" si="5"/>
        <v>41236.89</v>
      </c>
      <c r="F27" s="151">
        <v>0</v>
      </c>
      <c r="G27" s="149">
        <f t="shared" si="6"/>
        <v>277140.59</v>
      </c>
      <c r="H27" s="152"/>
      <c r="I27" s="146"/>
      <c r="J27" s="86"/>
      <c r="K27" s="90">
        <f t="shared" si="0"/>
        <v>14</v>
      </c>
      <c r="L27" s="153">
        <f t="shared" si="7"/>
        <v>722178.2400000002</v>
      </c>
      <c r="M27" s="153">
        <f t="shared" si="8"/>
        <v>249318.82999999996</v>
      </c>
      <c r="N27" s="153">
        <f t="shared" si="9"/>
        <v>472859.41000000027</v>
      </c>
      <c r="O27" s="86"/>
      <c r="P27" s="86"/>
      <c r="Q27" s="158"/>
      <c r="R27" s="28"/>
      <c r="S27" s="28"/>
      <c r="T27" s="37"/>
      <c r="U27" s="37"/>
      <c r="V27" s="37"/>
    </row>
    <row r="28" spans="1:22" s="27" customFormat="1" ht="15.75">
      <c r="A28" s="148">
        <f t="shared" si="3"/>
        <v>15</v>
      </c>
      <c r="B28" s="149">
        <f t="shared" si="4"/>
        <v>277140.59</v>
      </c>
      <c r="C28" s="150">
        <f t="shared" si="1"/>
        <v>51584.16</v>
      </c>
      <c r="D28" s="149">
        <f t="shared" si="2"/>
        <v>9007.07</v>
      </c>
      <c r="E28" s="149">
        <f t="shared" si="5"/>
        <v>42577.090000000004</v>
      </c>
      <c r="F28" s="151">
        <v>0</v>
      </c>
      <c r="G28" s="149">
        <f t="shared" si="6"/>
        <v>234563.5</v>
      </c>
      <c r="H28" s="152"/>
      <c r="I28" s="146"/>
      <c r="J28" s="86"/>
      <c r="K28" s="90">
        <f t="shared" si="0"/>
        <v>15</v>
      </c>
      <c r="L28" s="153">
        <f t="shared" si="7"/>
        <v>773762.4000000003</v>
      </c>
      <c r="M28" s="153">
        <f t="shared" si="8"/>
        <v>258325.89999999997</v>
      </c>
      <c r="N28" s="153">
        <f t="shared" si="9"/>
        <v>515436.5000000003</v>
      </c>
      <c r="O28" s="86"/>
      <c r="P28" s="86"/>
      <c r="Q28" s="158"/>
      <c r="R28" s="28"/>
      <c r="S28" s="28"/>
      <c r="T28" s="37"/>
      <c r="U28" s="37"/>
      <c r="V28" s="37"/>
    </row>
    <row r="29" spans="1:22" s="27" customFormat="1" ht="15.75">
      <c r="A29" s="148">
        <f t="shared" si="3"/>
        <v>16</v>
      </c>
      <c r="B29" s="149">
        <f t="shared" si="4"/>
        <v>234563.5</v>
      </c>
      <c r="C29" s="150">
        <f t="shared" si="1"/>
        <v>51584.16</v>
      </c>
      <c r="D29" s="149">
        <f t="shared" si="2"/>
        <v>7623.31</v>
      </c>
      <c r="E29" s="149">
        <f t="shared" si="5"/>
        <v>43960.850000000006</v>
      </c>
      <c r="F29" s="151">
        <v>0</v>
      </c>
      <c r="G29" s="149">
        <f t="shared" si="6"/>
        <v>190602.65</v>
      </c>
      <c r="H29" s="152"/>
      <c r="I29" s="146"/>
      <c r="J29" s="86"/>
      <c r="K29" s="90">
        <f t="shared" si="0"/>
        <v>16</v>
      </c>
      <c r="L29" s="153">
        <f t="shared" si="7"/>
        <v>825346.5600000003</v>
      </c>
      <c r="M29" s="153">
        <f t="shared" si="8"/>
        <v>265949.20999999996</v>
      </c>
      <c r="N29" s="153">
        <f t="shared" si="9"/>
        <v>559397.3500000003</v>
      </c>
      <c r="O29" s="86"/>
      <c r="P29" s="86"/>
      <c r="Q29" s="158"/>
      <c r="R29" s="28"/>
      <c r="S29" s="28"/>
      <c r="T29" s="37"/>
      <c r="U29" s="37"/>
      <c r="V29" s="37"/>
    </row>
    <row r="30" spans="1:22" s="27" customFormat="1" ht="15.75">
      <c r="A30" s="148">
        <f t="shared" si="3"/>
        <v>17</v>
      </c>
      <c r="B30" s="149">
        <f t="shared" si="4"/>
        <v>190602.65</v>
      </c>
      <c r="C30" s="150">
        <f t="shared" si="1"/>
        <v>51584.16</v>
      </c>
      <c r="D30" s="149">
        <f t="shared" si="2"/>
        <v>6194.59</v>
      </c>
      <c r="E30" s="149">
        <f t="shared" si="5"/>
        <v>45389.57000000001</v>
      </c>
      <c r="F30" s="151">
        <v>0</v>
      </c>
      <c r="G30" s="149">
        <f t="shared" si="6"/>
        <v>145213.08</v>
      </c>
      <c r="H30" s="152"/>
      <c r="I30" s="146"/>
      <c r="J30" s="86"/>
      <c r="K30" s="90">
        <f t="shared" si="0"/>
        <v>17</v>
      </c>
      <c r="L30" s="153">
        <f t="shared" si="7"/>
        <v>876930.7200000003</v>
      </c>
      <c r="M30" s="153">
        <f t="shared" si="8"/>
        <v>272143.8</v>
      </c>
      <c r="N30" s="153">
        <f t="shared" si="9"/>
        <v>604786.9200000004</v>
      </c>
      <c r="O30" s="86"/>
      <c r="P30" s="86"/>
      <c r="Q30" s="158"/>
      <c r="R30" s="28"/>
      <c r="S30" s="28"/>
      <c r="T30" s="37"/>
      <c r="U30" s="37"/>
      <c r="V30" s="37"/>
    </row>
    <row r="31" spans="1:22" s="27" customFormat="1" ht="15.75">
      <c r="A31" s="148">
        <f t="shared" si="3"/>
        <v>18</v>
      </c>
      <c r="B31" s="149">
        <f t="shared" si="4"/>
        <v>145213.08</v>
      </c>
      <c r="C31" s="150">
        <f t="shared" si="1"/>
        <v>51584.16</v>
      </c>
      <c r="D31" s="149">
        <f t="shared" si="2"/>
        <v>4719.43</v>
      </c>
      <c r="E31" s="149">
        <f t="shared" si="5"/>
        <v>46864.73</v>
      </c>
      <c r="F31" s="151">
        <v>0</v>
      </c>
      <c r="G31" s="149">
        <f t="shared" si="6"/>
        <v>98348.35</v>
      </c>
      <c r="H31" s="152"/>
      <c r="I31" s="146"/>
      <c r="J31" s="86"/>
      <c r="K31" s="90">
        <f t="shared" si="0"/>
        <v>18</v>
      </c>
      <c r="L31" s="153">
        <f t="shared" si="7"/>
        <v>928514.8800000004</v>
      </c>
      <c r="M31" s="153">
        <f t="shared" si="8"/>
        <v>276863.23</v>
      </c>
      <c r="N31" s="153">
        <f t="shared" si="9"/>
        <v>651651.6500000004</v>
      </c>
      <c r="O31" s="86"/>
      <c r="P31" s="86"/>
      <c r="Q31" s="158"/>
      <c r="R31" s="28"/>
      <c r="S31" s="28"/>
      <c r="T31" s="37"/>
      <c r="U31" s="37"/>
      <c r="V31" s="37"/>
    </row>
    <row r="32" spans="1:22" s="27" customFormat="1" ht="15.75">
      <c r="A32" s="148">
        <f aca="true" t="shared" si="10" ref="A32:A47">IF(G31=0,"",1+A31)</f>
        <v>19</v>
      </c>
      <c r="B32" s="149">
        <f aca="true" t="shared" si="11" ref="B32:B47">IF(G31=0,"",ROUND(G31,2))</f>
        <v>98348.35</v>
      </c>
      <c r="C32" s="150">
        <f t="shared" si="1"/>
        <v>51584.16</v>
      </c>
      <c r="D32" s="149">
        <f t="shared" si="2"/>
        <v>3196.32</v>
      </c>
      <c r="E32" s="149">
        <f aca="true" t="shared" si="12" ref="E32:E47">IF(G31=0,"",C32-D32+F32)</f>
        <v>48387.840000000004</v>
      </c>
      <c r="F32" s="151">
        <v>0</v>
      </c>
      <c r="G32" s="149">
        <f aca="true" t="shared" si="13" ref="G32:G47">IF(G31=0,"",ROUND(B32-E32,2))</f>
        <v>49960.51</v>
      </c>
      <c r="H32" s="152"/>
      <c r="I32" s="146"/>
      <c r="J32" s="86"/>
      <c r="K32" s="90">
        <f t="shared" si="0"/>
        <v>19</v>
      </c>
      <c r="L32" s="153">
        <f aca="true" t="shared" si="14" ref="L32:L47">IF(G31=0,"",C32+F32+L31)</f>
        <v>980099.0400000004</v>
      </c>
      <c r="M32" s="153">
        <f aca="true" t="shared" si="15" ref="M32:M47">IF(G31=0,"",M31+D32)</f>
        <v>280059.55</v>
      </c>
      <c r="N32" s="153">
        <f aca="true" t="shared" si="16" ref="N32:N47">IF(G31=0,"",L32-M32)</f>
        <v>700039.4900000005</v>
      </c>
      <c r="O32" s="86"/>
      <c r="P32" s="86"/>
      <c r="Q32" s="158"/>
      <c r="R32" s="28"/>
      <c r="S32" s="28"/>
      <c r="T32" s="37"/>
      <c r="U32" s="37"/>
      <c r="V32" s="37"/>
    </row>
    <row r="33" spans="1:22" s="27" customFormat="1" ht="15.75">
      <c r="A33" s="148">
        <f t="shared" si="10"/>
        <v>20</v>
      </c>
      <c r="B33" s="149">
        <f t="shared" si="11"/>
        <v>49960.51</v>
      </c>
      <c r="C33" s="150">
        <f t="shared" si="1"/>
        <v>51584.16</v>
      </c>
      <c r="D33" s="149">
        <f t="shared" si="2"/>
        <v>1623.72</v>
      </c>
      <c r="E33" s="149">
        <f t="shared" si="12"/>
        <v>49960.44</v>
      </c>
      <c r="F33" s="151">
        <v>0</v>
      </c>
      <c r="G33" s="149">
        <f t="shared" si="13"/>
        <v>0.07</v>
      </c>
      <c r="H33" s="152"/>
      <c r="I33" s="146"/>
      <c r="J33" s="86"/>
      <c r="K33" s="90">
        <f t="shared" si="0"/>
        <v>20</v>
      </c>
      <c r="L33" s="153">
        <f t="shared" si="14"/>
        <v>1031683.2000000004</v>
      </c>
      <c r="M33" s="153">
        <f t="shared" si="15"/>
        <v>281683.26999999996</v>
      </c>
      <c r="N33" s="153">
        <f t="shared" si="16"/>
        <v>749999.9300000004</v>
      </c>
      <c r="O33" s="86"/>
      <c r="P33" s="86"/>
      <c r="Q33" s="158"/>
      <c r="R33" s="28"/>
      <c r="S33" s="28"/>
      <c r="T33" s="37"/>
      <c r="U33" s="37"/>
      <c r="V33" s="37"/>
    </row>
    <row r="34" spans="1:22" s="27" customFormat="1" ht="15.75">
      <c r="A34" s="148">
        <f t="shared" si="10"/>
        <v>21</v>
      </c>
      <c r="B34" s="149">
        <f t="shared" si="11"/>
        <v>0.07</v>
      </c>
      <c r="C34" s="150">
        <f t="shared" si="1"/>
        <v>0.07</v>
      </c>
      <c r="D34" s="149">
        <f t="shared" si="2"/>
        <v>0</v>
      </c>
      <c r="E34" s="149">
        <f t="shared" si="12"/>
        <v>0.07</v>
      </c>
      <c r="F34" s="151">
        <v>0</v>
      </c>
      <c r="G34" s="149">
        <f t="shared" si="13"/>
        <v>0</v>
      </c>
      <c r="H34" s="152"/>
      <c r="I34" s="146"/>
      <c r="J34" s="86"/>
      <c r="K34" s="90">
        <f t="shared" si="0"/>
        <v>21</v>
      </c>
      <c r="L34" s="153">
        <f t="shared" si="14"/>
        <v>1031683.2700000004</v>
      </c>
      <c r="M34" s="153">
        <f t="shared" si="15"/>
        <v>281683.26999999996</v>
      </c>
      <c r="N34" s="153">
        <f t="shared" si="16"/>
        <v>750000.0000000005</v>
      </c>
      <c r="O34" s="86"/>
      <c r="P34" s="86"/>
      <c r="Q34" s="158"/>
      <c r="R34" s="28"/>
      <c r="S34" s="28"/>
      <c r="T34" s="37"/>
      <c r="U34" s="37"/>
      <c r="V34" s="37"/>
    </row>
    <row r="35" spans="1:22" s="27" customFormat="1" ht="15.75">
      <c r="A35" s="148">
        <f t="shared" si="10"/>
      </c>
      <c r="B35" s="149">
        <f>IF(G34=0,"",ROUND(G34,2))</f>
      </c>
      <c r="C35" s="150">
        <f t="shared" si="1"/>
      </c>
      <c r="D35" s="149">
        <f t="shared" si="2"/>
      </c>
      <c r="E35" s="149">
        <f t="shared" si="12"/>
      </c>
      <c r="F35" s="151">
        <v>0</v>
      </c>
      <c r="G35" s="149">
        <f t="shared" si="13"/>
      </c>
      <c r="H35" s="152"/>
      <c r="I35" s="146"/>
      <c r="J35" s="86"/>
      <c r="K35" s="90">
        <f t="shared" si="0"/>
      </c>
      <c r="L35" s="153">
        <f t="shared" si="14"/>
      </c>
      <c r="M35" s="153">
        <f t="shared" si="15"/>
      </c>
      <c r="N35" s="153">
        <f t="shared" si="16"/>
      </c>
      <c r="O35" s="86"/>
      <c r="P35" s="86"/>
      <c r="Q35" s="158"/>
      <c r="R35" s="28"/>
      <c r="S35" s="28"/>
      <c r="T35" s="37"/>
      <c r="U35" s="37"/>
      <c r="V35" s="37"/>
    </row>
    <row r="36" spans="1:22" s="27" customFormat="1" ht="15.75">
      <c r="A36" s="148">
        <f t="shared" si="10"/>
      </c>
      <c r="B36" s="149">
        <f t="shared" si="11"/>
      </c>
      <c r="C36" s="150">
        <f t="shared" si="1"/>
      </c>
      <c r="D36" s="149">
        <f t="shared" si="2"/>
      </c>
      <c r="E36" s="149">
        <f t="shared" si="12"/>
      </c>
      <c r="F36" s="151">
        <v>0</v>
      </c>
      <c r="G36" s="149">
        <f t="shared" si="13"/>
      </c>
      <c r="H36" s="152"/>
      <c r="I36" s="146"/>
      <c r="J36" s="86"/>
      <c r="K36" s="90">
        <f t="shared" si="0"/>
      </c>
      <c r="L36" s="153">
        <f t="shared" si="14"/>
      </c>
      <c r="M36" s="153">
        <f t="shared" si="15"/>
      </c>
      <c r="N36" s="153">
        <f t="shared" si="16"/>
      </c>
      <c r="O36" s="86"/>
      <c r="P36" s="86"/>
      <c r="Q36" s="158"/>
      <c r="R36" s="28"/>
      <c r="S36" s="28"/>
      <c r="T36" s="37"/>
      <c r="U36" s="37"/>
      <c r="V36" s="37"/>
    </row>
    <row r="37" spans="1:22" s="27" customFormat="1" ht="15.75">
      <c r="A37" s="148">
        <f t="shared" si="10"/>
      </c>
      <c r="B37" s="149">
        <f t="shared" si="11"/>
      </c>
      <c r="C37" s="150">
        <f t="shared" si="1"/>
      </c>
      <c r="D37" s="149">
        <f t="shared" si="2"/>
      </c>
      <c r="E37" s="149">
        <f t="shared" si="12"/>
      </c>
      <c r="F37" s="151">
        <v>0</v>
      </c>
      <c r="G37" s="149">
        <f t="shared" si="13"/>
      </c>
      <c r="H37" s="152"/>
      <c r="I37" s="146"/>
      <c r="J37" s="86"/>
      <c r="K37" s="90">
        <f t="shared" si="0"/>
      </c>
      <c r="L37" s="153">
        <f t="shared" si="14"/>
      </c>
      <c r="M37" s="153">
        <f t="shared" si="15"/>
      </c>
      <c r="N37" s="153">
        <f t="shared" si="16"/>
      </c>
      <c r="O37" s="86"/>
      <c r="P37" s="86"/>
      <c r="Q37" s="158"/>
      <c r="R37" s="28"/>
      <c r="S37" s="28"/>
      <c r="T37" s="37"/>
      <c r="U37" s="37"/>
      <c r="V37" s="37"/>
    </row>
    <row r="38" spans="1:22" s="27" customFormat="1" ht="15.75">
      <c r="A38" s="148">
        <f t="shared" si="10"/>
      </c>
      <c r="B38" s="149">
        <f t="shared" si="11"/>
      </c>
      <c r="C38" s="150">
        <f t="shared" si="1"/>
      </c>
      <c r="D38" s="149">
        <f t="shared" si="2"/>
      </c>
      <c r="E38" s="149">
        <f t="shared" si="12"/>
      </c>
      <c r="F38" s="151">
        <v>0</v>
      </c>
      <c r="G38" s="149">
        <f t="shared" si="13"/>
      </c>
      <c r="H38" s="152"/>
      <c r="I38" s="146"/>
      <c r="J38" s="86"/>
      <c r="K38" s="90">
        <f t="shared" si="0"/>
      </c>
      <c r="L38" s="153">
        <f t="shared" si="14"/>
      </c>
      <c r="M38" s="153">
        <f t="shared" si="15"/>
      </c>
      <c r="N38" s="153">
        <f t="shared" si="16"/>
      </c>
      <c r="O38" s="86"/>
      <c r="P38" s="86"/>
      <c r="Q38" s="158"/>
      <c r="R38" s="28"/>
      <c r="S38" s="28"/>
      <c r="T38" s="37"/>
      <c r="U38" s="37"/>
      <c r="V38" s="37"/>
    </row>
    <row r="39" spans="1:22" s="27" customFormat="1" ht="15.75">
      <c r="A39" s="148">
        <f t="shared" si="10"/>
      </c>
      <c r="B39" s="149">
        <f t="shared" si="11"/>
      </c>
      <c r="C39" s="150">
        <f t="shared" si="1"/>
      </c>
      <c r="D39" s="149">
        <f t="shared" si="2"/>
      </c>
      <c r="E39" s="149">
        <f t="shared" si="12"/>
      </c>
      <c r="F39" s="151">
        <v>0</v>
      </c>
      <c r="G39" s="149">
        <f t="shared" si="13"/>
      </c>
      <c r="H39" s="152"/>
      <c r="I39" s="146"/>
      <c r="J39" s="86"/>
      <c r="K39" s="90">
        <f t="shared" si="0"/>
      </c>
      <c r="L39" s="153">
        <f t="shared" si="14"/>
      </c>
      <c r="M39" s="153">
        <f t="shared" si="15"/>
      </c>
      <c r="N39" s="153">
        <f t="shared" si="16"/>
      </c>
      <c r="O39" s="86"/>
      <c r="P39" s="86"/>
      <c r="Q39" s="158"/>
      <c r="R39" s="28"/>
      <c r="S39" s="28"/>
      <c r="T39" s="37"/>
      <c r="U39" s="37"/>
      <c r="V39" s="37"/>
    </row>
    <row r="40" spans="1:22" s="27" customFormat="1" ht="15.75">
      <c r="A40" s="148">
        <f t="shared" si="10"/>
      </c>
      <c r="B40" s="149">
        <f t="shared" si="11"/>
      </c>
      <c r="C40" s="150">
        <f t="shared" si="1"/>
      </c>
      <c r="D40" s="149">
        <f t="shared" si="2"/>
      </c>
      <c r="E40" s="149">
        <f t="shared" si="12"/>
      </c>
      <c r="F40" s="151">
        <v>0</v>
      </c>
      <c r="G40" s="149">
        <f t="shared" si="13"/>
      </c>
      <c r="H40" s="152"/>
      <c r="I40" s="146"/>
      <c r="J40" s="86"/>
      <c r="K40" s="90">
        <f t="shared" si="0"/>
      </c>
      <c r="L40" s="153">
        <f t="shared" si="14"/>
      </c>
      <c r="M40" s="153">
        <f t="shared" si="15"/>
      </c>
      <c r="N40" s="153">
        <f t="shared" si="16"/>
      </c>
      <c r="O40" s="86"/>
      <c r="P40" s="86"/>
      <c r="Q40" s="158"/>
      <c r="R40" s="28"/>
      <c r="S40" s="28"/>
      <c r="T40" s="37"/>
      <c r="U40" s="37"/>
      <c r="V40" s="37"/>
    </row>
    <row r="41" spans="1:22" s="27" customFormat="1" ht="15.75">
      <c r="A41" s="148">
        <f t="shared" si="10"/>
      </c>
      <c r="B41" s="149">
        <f t="shared" si="11"/>
      </c>
      <c r="C41" s="150">
        <f t="shared" si="1"/>
      </c>
      <c r="D41" s="149">
        <f t="shared" si="2"/>
      </c>
      <c r="E41" s="149">
        <f t="shared" si="12"/>
      </c>
      <c r="F41" s="151">
        <v>0</v>
      </c>
      <c r="G41" s="149">
        <f t="shared" si="13"/>
      </c>
      <c r="H41" s="152"/>
      <c r="I41" s="146"/>
      <c r="J41" s="86"/>
      <c r="K41" s="90">
        <f t="shared" si="0"/>
      </c>
      <c r="L41" s="153">
        <f t="shared" si="14"/>
      </c>
      <c r="M41" s="153">
        <f t="shared" si="15"/>
      </c>
      <c r="N41" s="153">
        <f t="shared" si="16"/>
      </c>
      <c r="O41" s="86"/>
      <c r="P41" s="86"/>
      <c r="Q41" s="158"/>
      <c r="R41" s="28"/>
      <c r="S41" s="28"/>
      <c r="T41" s="37"/>
      <c r="U41" s="37"/>
      <c r="V41" s="37"/>
    </row>
    <row r="42" spans="1:22" s="27" customFormat="1" ht="15.75">
      <c r="A42" s="148">
        <f t="shared" si="10"/>
      </c>
      <c r="B42" s="149">
        <f t="shared" si="11"/>
      </c>
      <c r="C42" s="150">
        <f t="shared" si="1"/>
      </c>
      <c r="D42" s="149">
        <f t="shared" si="2"/>
      </c>
      <c r="E42" s="149">
        <f t="shared" si="12"/>
      </c>
      <c r="F42" s="151">
        <v>0</v>
      </c>
      <c r="G42" s="149">
        <f t="shared" si="13"/>
      </c>
      <c r="H42" s="152"/>
      <c r="I42" s="146"/>
      <c r="J42" s="86"/>
      <c r="K42" s="90">
        <f t="shared" si="0"/>
      </c>
      <c r="L42" s="153">
        <f t="shared" si="14"/>
      </c>
      <c r="M42" s="153">
        <f t="shared" si="15"/>
      </c>
      <c r="N42" s="153">
        <f t="shared" si="16"/>
      </c>
      <c r="O42" s="86"/>
      <c r="P42" s="86"/>
      <c r="Q42" s="158"/>
      <c r="R42" s="28"/>
      <c r="S42" s="28"/>
      <c r="T42" s="37"/>
      <c r="U42" s="37"/>
      <c r="V42" s="37"/>
    </row>
    <row r="43" spans="1:22" s="27" customFormat="1" ht="15.75">
      <c r="A43" s="148">
        <f>IF(G42=0,"",1+A42)</f>
      </c>
      <c r="B43" s="149">
        <f t="shared" si="11"/>
      </c>
      <c r="C43" s="150">
        <f t="shared" si="1"/>
      </c>
      <c r="D43" s="149">
        <f t="shared" si="2"/>
      </c>
      <c r="E43" s="149">
        <f t="shared" si="12"/>
      </c>
      <c r="F43" s="151">
        <v>0</v>
      </c>
      <c r="G43" s="149">
        <f t="shared" si="13"/>
      </c>
      <c r="H43" s="152"/>
      <c r="I43" s="146"/>
      <c r="J43" s="86"/>
      <c r="K43" s="90">
        <f t="shared" si="0"/>
      </c>
      <c r="L43" s="153">
        <f t="shared" si="14"/>
      </c>
      <c r="M43" s="153">
        <f t="shared" si="15"/>
      </c>
      <c r="N43" s="153">
        <f t="shared" si="16"/>
      </c>
      <c r="O43" s="86"/>
      <c r="P43" s="86"/>
      <c r="Q43" s="158"/>
      <c r="R43" s="28"/>
      <c r="S43" s="28"/>
      <c r="T43" s="37"/>
      <c r="U43" s="37"/>
      <c r="V43" s="37"/>
    </row>
    <row r="44" spans="1:22" s="27" customFormat="1" ht="15.75">
      <c r="A44" s="148">
        <f t="shared" si="10"/>
      </c>
      <c r="B44" s="149">
        <f t="shared" si="11"/>
      </c>
      <c r="C44" s="150">
        <f t="shared" si="1"/>
      </c>
      <c r="D44" s="149">
        <f t="shared" si="2"/>
      </c>
      <c r="E44" s="149">
        <f t="shared" si="12"/>
      </c>
      <c r="F44" s="151">
        <v>0</v>
      </c>
      <c r="G44" s="149">
        <f t="shared" si="13"/>
      </c>
      <c r="H44" s="152"/>
      <c r="I44" s="146"/>
      <c r="J44" s="86"/>
      <c r="K44" s="90">
        <f t="shared" si="0"/>
      </c>
      <c r="L44" s="153">
        <f t="shared" si="14"/>
      </c>
      <c r="M44" s="153">
        <f t="shared" si="15"/>
      </c>
      <c r="N44" s="153">
        <f t="shared" si="16"/>
      </c>
      <c r="O44" s="86"/>
      <c r="P44" s="86"/>
      <c r="Q44" s="158"/>
      <c r="R44" s="28"/>
      <c r="S44" s="28"/>
      <c r="T44" s="37"/>
      <c r="U44" s="37"/>
      <c r="V44" s="37"/>
    </row>
    <row r="45" spans="1:22" s="27" customFormat="1" ht="15.75">
      <c r="A45" s="148">
        <f t="shared" si="10"/>
      </c>
      <c r="B45" s="149">
        <f t="shared" si="11"/>
      </c>
      <c r="C45" s="150">
        <f t="shared" si="1"/>
      </c>
      <c r="D45" s="149">
        <f t="shared" si="2"/>
      </c>
      <c r="E45" s="149">
        <f t="shared" si="12"/>
      </c>
      <c r="F45" s="151">
        <v>0</v>
      </c>
      <c r="G45" s="149">
        <f t="shared" si="13"/>
      </c>
      <c r="H45" s="152"/>
      <c r="I45" s="146"/>
      <c r="J45" s="86"/>
      <c r="K45" s="90">
        <f t="shared" si="0"/>
      </c>
      <c r="L45" s="153">
        <f t="shared" si="14"/>
      </c>
      <c r="M45" s="153">
        <f t="shared" si="15"/>
      </c>
      <c r="N45" s="153">
        <f t="shared" si="16"/>
      </c>
      <c r="O45" s="86"/>
      <c r="P45" s="86"/>
      <c r="Q45" s="158"/>
      <c r="R45" s="28"/>
      <c r="S45" s="28"/>
      <c r="T45" s="37"/>
      <c r="U45" s="37"/>
      <c r="V45" s="37"/>
    </row>
    <row r="46" spans="1:22" s="27" customFormat="1" ht="15.75">
      <c r="A46" s="148">
        <f t="shared" si="10"/>
      </c>
      <c r="B46" s="149">
        <f t="shared" si="11"/>
      </c>
      <c r="C46" s="150">
        <f t="shared" si="1"/>
      </c>
      <c r="D46" s="149">
        <f t="shared" si="2"/>
      </c>
      <c r="E46" s="149">
        <f t="shared" si="12"/>
      </c>
      <c r="F46" s="151">
        <v>0</v>
      </c>
      <c r="G46" s="149">
        <f t="shared" si="13"/>
      </c>
      <c r="H46" s="152"/>
      <c r="I46" s="146"/>
      <c r="J46" s="86"/>
      <c r="K46" s="90">
        <f t="shared" si="0"/>
      </c>
      <c r="L46" s="153">
        <f t="shared" si="14"/>
      </c>
      <c r="M46" s="153">
        <f t="shared" si="15"/>
      </c>
      <c r="N46" s="153">
        <f t="shared" si="16"/>
      </c>
      <c r="O46" s="86"/>
      <c r="P46" s="86"/>
      <c r="Q46" s="158"/>
      <c r="R46" s="28"/>
      <c r="S46" s="28"/>
      <c r="T46" s="37"/>
      <c r="U46" s="37"/>
      <c r="V46" s="37"/>
    </row>
    <row r="47" spans="1:22" s="27" customFormat="1" ht="15.75">
      <c r="A47" s="148">
        <f t="shared" si="10"/>
      </c>
      <c r="B47" s="149">
        <f t="shared" si="11"/>
      </c>
      <c r="C47" s="150">
        <f t="shared" si="1"/>
      </c>
      <c r="D47" s="149">
        <f t="shared" si="2"/>
      </c>
      <c r="E47" s="149">
        <f t="shared" si="12"/>
      </c>
      <c r="F47" s="151">
        <v>0</v>
      </c>
      <c r="G47" s="149">
        <f t="shared" si="13"/>
      </c>
      <c r="H47" s="152"/>
      <c r="I47" s="146"/>
      <c r="J47" s="86"/>
      <c r="K47" s="90">
        <f t="shared" si="0"/>
      </c>
      <c r="L47" s="153">
        <f t="shared" si="14"/>
      </c>
      <c r="M47" s="153">
        <f t="shared" si="15"/>
      </c>
      <c r="N47" s="153">
        <f t="shared" si="16"/>
      </c>
      <c r="O47" s="86"/>
      <c r="P47" s="86"/>
      <c r="Q47" s="158"/>
      <c r="R47" s="28"/>
      <c r="S47" s="28"/>
      <c r="T47" s="37"/>
      <c r="U47" s="37"/>
      <c r="V47" s="37"/>
    </row>
    <row r="48" spans="1:22" s="27" customFormat="1" ht="15.75">
      <c r="A48" s="148">
        <f aca="true" t="shared" si="17" ref="A48:A63">IF(G47=0,"",1+A47)</f>
      </c>
      <c r="B48" s="149">
        <f aca="true" t="shared" si="18" ref="B48:B63">IF(G47=0,"",ROUND(G47,2))</f>
      </c>
      <c r="C48" s="150">
        <f t="shared" si="1"/>
      </c>
      <c r="D48" s="149">
        <f t="shared" si="2"/>
      </c>
      <c r="E48" s="149">
        <f aca="true" t="shared" si="19" ref="E48:E63">IF(G47=0,"",C48-D48+F48)</f>
      </c>
      <c r="F48" s="151">
        <v>0</v>
      </c>
      <c r="G48" s="149">
        <f aca="true" t="shared" si="20" ref="G48:G63">IF(G47=0,"",ROUND(B48-E48,2))</f>
      </c>
      <c r="H48" s="152"/>
      <c r="I48" s="146"/>
      <c r="J48" s="86"/>
      <c r="K48" s="90">
        <f t="shared" si="0"/>
      </c>
      <c r="L48" s="153">
        <f aca="true" t="shared" si="21" ref="L48:L63">IF(G47=0,"",C48+F48+L47)</f>
      </c>
      <c r="M48" s="153">
        <f aca="true" t="shared" si="22" ref="M48:M63">IF(G47=0,"",M47+D48)</f>
      </c>
      <c r="N48" s="153">
        <f aca="true" t="shared" si="23" ref="N48:N63">IF(G47=0,"",L48-M48)</f>
      </c>
      <c r="O48" s="86"/>
      <c r="P48" s="86"/>
      <c r="Q48" s="158"/>
      <c r="R48" s="28"/>
      <c r="S48" s="28"/>
      <c r="T48" s="37"/>
      <c r="U48" s="37"/>
      <c r="V48" s="37"/>
    </row>
    <row r="49" spans="1:22" s="27" customFormat="1" ht="15.75">
      <c r="A49" s="148">
        <f t="shared" si="17"/>
      </c>
      <c r="B49" s="149">
        <f t="shared" si="18"/>
      </c>
      <c r="C49" s="150">
        <f t="shared" si="1"/>
      </c>
      <c r="D49" s="149">
        <f t="shared" si="2"/>
      </c>
      <c r="E49" s="149">
        <f t="shared" si="19"/>
      </c>
      <c r="F49" s="151">
        <v>0</v>
      </c>
      <c r="G49" s="149">
        <f t="shared" si="20"/>
      </c>
      <c r="H49" s="152"/>
      <c r="I49" s="146"/>
      <c r="J49" s="86"/>
      <c r="K49" s="90">
        <f t="shared" si="0"/>
      </c>
      <c r="L49" s="153">
        <f t="shared" si="21"/>
      </c>
      <c r="M49" s="153">
        <f t="shared" si="22"/>
      </c>
      <c r="N49" s="153">
        <f t="shared" si="23"/>
      </c>
      <c r="O49" s="86"/>
      <c r="P49" s="86"/>
      <c r="Q49" s="158"/>
      <c r="R49" s="28"/>
      <c r="S49" s="28"/>
      <c r="T49" s="37"/>
      <c r="U49" s="37"/>
      <c r="V49" s="37"/>
    </row>
    <row r="50" spans="1:22" s="27" customFormat="1" ht="15.75">
      <c r="A50" s="148">
        <f t="shared" si="17"/>
      </c>
      <c r="B50" s="149">
        <f t="shared" si="18"/>
      </c>
      <c r="C50" s="150">
        <f t="shared" si="1"/>
      </c>
      <c r="D50" s="149">
        <f t="shared" si="2"/>
      </c>
      <c r="E50" s="149">
        <f t="shared" si="19"/>
      </c>
      <c r="F50" s="151">
        <v>0</v>
      </c>
      <c r="G50" s="149">
        <f t="shared" si="20"/>
      </c>
      <c r="H50" s="152"/>
      <c r="I50" s="146"/>
      <c r="J50" s="86"/>
      <c r="K50" s="90">
        <f t="shared" si="0"/>
      </c>
      <c r="L50" s="153">
        <f t="shared" si="21"/>
      </c>
      <c r="M50" s="153">
        <f t="shared" si="22"/>
      </c>
      <c r="N50" s="153">
        <f t="shared" si="23"/>
      </c>
      <c r="O50" s="86"/>
      <c r="P50" s="86"/>
      <c r="Q50" s="158"/>
      <c r="R50" s="28"/>
      <c r="S50" s="28"/>
      <c r="T50" s="37"/>
      <c r="U50" s="37"/>
      <c r="V50" s="37"/>
    </row>
    <row r="51" spans="1:22" s="27" customFormat="1" ht="15.75">
      <c r="A51" s="148">
        <f t="shared" si="17"/>
      </c>
      <c r="B51" s="149">
        <f t="shared" si="18"/>
      </c>
      <c r="C51" s="150">
        <f t="shared" si="1"/>
      </c>
      <c r="D51" s="149">
        <f t="shared" si="2"/>
      </c>
      <c r="E51" s="149">
        <f t="shared" si="19"/>
      </c>
      <c r="F51" s="151">
        <v>0</v>
      </c>
      <c r="G51" s="149">
        <f t="shared" si="20"/>
      </c>
      <c r="H51" s="152"/>
      <c r="I51" s="146"/>
      <c r="J51" s="86"/>
      <c r="K51" s="90">
        <f t="shared" si="0"/>
      </c>
      <c r="L51" s="153">
        <f t="shared" si="21"/>
      </c>
      <c r="M51" s="153">
        <f t="shared" si="22"/>
      </c>
      <c r="N51" s="153">
        <f t="shared" si="23"/>
      </c>
      <c r="O51" s="86"/>
      <c r="P51" s="86"/>
      <c r="Q51" s="158"/>
      <c r="R51" s="28"/>
      <c r="S51" s="28"/>
      <c r="T51" s="37"/>
      <c r="U51" s="37"/>
      <c r="V51" s="37"/>
    </row>
    <row r="52" spans="1:22" s="27" customFormat="1" ht="15.75">
      <c r="A52" s="148">
        <f t="shared" si="17"/>
      </c>
      <c r="B52" s="149">
        <f t="shared" si="18"/>
      </c>
      <c r="C52" s="150">
        <f t="shared" si="1"/>
      </c>
      <c r="D52" s="149">
        <f t="shared" si="2"/>
      </c>
      <c r="E52" s="149">
        <f t="shared" si="19"/>
      </c>
      <c r="F52" s="151">
        <v>0</v>
      </c>
      <c r="G52" s="149">
        <f t="shared" si="20"/>
      </c>
      <c r="H52" s="152"/>
      <c r="I52" s="146"/>
      <c r="J52" s="86"/>
      <c r="K52" s="90">
        <f t="shared" si="0"/>
      </c>
      <c r="L52" s="153">
        <f t="shared" si="21"/>
      </c>
      <c r="M52" s="153">
        <f t="shared" si="22"/>
      </c>
      <c r="N52" s="153">
        <f t="shared" si="23"/>
      </c>
      <c r="O52" s="86"/>
      <c r="P52" s="86"/>
      <c r="Q52" s="158"/>
      <c r="R52" s="28"/>
      <c r="S52" s="28"/>
      <c r="T52" s="37"/>
      <c r="U52" s="37"/>
      <c r="V52" s="37"/>
    </row>
    <row r="53" spans="1:22" s="27" customFormat="1" ht="15.75">
      <c r="A53" s="148">
        <f t="shared" si="17"/>
      </c>
      <c r="B53" s="149">
        <f t="shared" si="18"/>
      </c>
      <c r="C53" s="150">
        <f t="shared" si="1"/>
      </c>
      <c r="D53" s="149">
        <f t="shared" si="2"/>
      </c>
      <c r="E53" s="149">
        <f t="shared" si="19"/>
      </c>
      <c r="F53" s="151">
        <v>0</v>
      </c>
      <c r="G53" s="149">
        <f t="shared" si="20"/>
      </c>
      <c r="H53" s="152"/>
      <c r="I53" s="146"/>
      <c r="J53" s="86"/>
      <c r="K53" s="90">
        <f t="shared" si="0"/>
      </c>
      <c r="L53" s="153">
        <f t="shared" si="21"/>
      </c>
      <c r="M53" s="153">
        <f t="shared" si="22"/>
      </c>
      <c r="N53" s="153">
        <f t="shared" si="23"/>
      </c>
      <c r="O53" s="86"/>
      <c r="P53" s="86"/>
      <c r="Q53" s="158"/>
      <c r="R53" s="28"/>
      <c r="S53" s="28"/>
      <c r="T53" s="37"/>
      <c r="U53" s="37"/>
      <c r="V53" s="37"/>
    </row>
    <row r="54" spans="1:22" s="27" customFormat="1" ht="15.75">
      <c r="A54" s="148">
        <f t="shared" si="17"/>
      </c>
      <c r="B54" s="149">
        <f t="shared" si="18"/>
      </c>
      <c r="C54" s="150">
        <f t="shared" si="1"/>
      </c>
      <c r="D54" s="149">
        <f t="shared" si="2"/>
      </c>
      <c r="E54" s="149">
        <f t="shared" si="19"/>
      </c>
      <c r="F54" s="151">
        <v>0</v>
      </c>
      <c r="G54" s="149">
        <f t="shared" si="20"/>
      </c>
      <c r="H54" s="152"/>
      <c r="I54" s="146"/>
      <c r="J54" s="86"/>
      <c r="K54" s="90">
        <f t="shared" si="0"/>
      </c>
      <c r="L54" s="153">
        <f t="shared" si="21"/>
      </c>
      <c r="M54" s="153">
        <f t="shared" si="22"/>
      </c>
      <c r="N54" s="153">
        <f t="shared" si="23"/>
      </c>
      <c r="O54" s="86"/>
      <c r="P54" s="86"/>
      <c r="Q54" s="158"/>
      <c r="R54" s="28"/>
      <c r="S54" s="28"/>
      <c r="T54" s="37"/>
      <c r="U54" s="37"/>
      <c r="V54" s="37"/>
    </row>
    <row r="55" spans="1:22" s="27" customFormat="1" ht="15.75">
      <c r="A55" s="148">
        <f t="shared" si="17"/>
      </c>
      <c r="B55" s="149">
        <f t="shared" si="18"/>
      </c>
      <c r="C55" s="150">
        <f t="shared" si="1"/>
      </c>
      <c r="D55" s="149">
        <f t="shared" si="2"/>
      </c>
      <c r="E55" s="149">
        <f t="shared" si="19"/>
      </c>
      <c r="F55" s="151">
        <v>0</v>
      </c>
      <c r="G55" s="149">
        <f t="shared" si="20"/>
      </c>
      <c r="H55" s="152"/>
      <c r="I55" s="146"/>
      <c r="J55" s="86"/>
      <c r="K55" s="90">
        <f t="shared" si="0"/>
      </c>
      <c r="L55" s="153">
        <f t="shared" si="21"/>
      </c>
      <c r="M55" s="153">
        <f t="shared" si="22"/>
      </c>
      <c r="N55" s="153">
        <f t="shared" si="23"/>
      </c>
      <c r="O55" s="86"/>
      <c r="P55" s="86"/>
      <c r="Q55" s="158"/>
      <c r="R55" s="28"/>
      <c r="S55" s="28"/>
      <c r="T55" s="37"/>
      <c r="U55" s="37"/>
      <c r="V55" s="37"/>
    </row>
    <row r="56" spans="1:22" s="27" customFormat="1" ht="15.75">
      <c r="A56" s="148">
        <f t="shared" si="17"/>
      </c>
      <c r="B56" s="149">
        <f t="shared" si="18"/>
      </c>
      <c r="C56" s="150">
        <f t="shared" si="1"/>
      </c>
      <c r="D56" s="149">
        <f t="shared" si="2"/>
      </c>
      <c r="E56" s="149">
        <f t="shared" si="19"/>
      </c>
      <c r="F56" s="151">
        <v>0</v>
      </c>
      <c r="G56" s="149">
        <f t="shared" si="20"/>
      </c>
      <c r="H56" s="152"/>
      <c r="I56" s="146"/>
      <c r="J56" s="86"/>
      <c r="K56" s="90">
        <f t="shared" si="0"/>
      </c>
      <c r="L56" s="153">
        <f t="shared" si="21"/>
      </c>
      <c r="M56" s="153">
        <f t="shared" si="22"/>
      </c>
      <c r="N56" s="153">
        <f t="shared" si="23"/>
      </c>
      <c r="O56" s="86"/>
      <c r="P56" s="86"/>
      <c r="Q56" s="158"/>
      <c r="R56" s="28"/>
      <c r="S56" s="28"/>
      <c r="T56" s="37"/>
      <c r="U56" s="37"/>
      <c r="V56" s="37"/>
    </row>
    <row r="57" spans="1:22" s="27" customFormat="1" ht="15.75">
      <c r="A57" s="148">
        <f t="shared" si="17"/>
      </c>
      <c r="B57" s="149">
        <f t="shared" si="18"/>
      </c>
      <c r="C57" s="150">
        <f t="shared" si="1"/>
      </c>
      <c r="D57" s="149">
        <f t="shared" si="2"/>
      </c>
      <c r="E57" s="149">
        <f t="shared" si="19"/>
      </c>
      <c r="F57" s="151">
        <v>0</v>
      </c>
      <c r="G57" s="149">
        <f t="shared" si="20"/>
      </c>
      <c r="H57" s="152"/>
      <c r="I57" s="146"/>
      <c r="J57" s="86"/>
      <c r="K57" s="90">
        <f t="shared" si="0"/>
      </c>
      <c r="L57" s="153">
        <f t="shared" si="21"/>
      </c>
      <c r="M57" s="153">
        <f t="shared" si="22"/>
      </c>
      <c r="N57" s="153">
        <f t="shared" si="23"/>
      </c>
      <c r="O57" s="86"/>
      <c r="P57" s="86"/>
      <c r="Q57" s="158"/>
      <c r="R57" s="28"/>
      <c r="S57" s="28"/>
      <c r="T57" s="37"/>
      <c r="U57" s="37"/>
      <c r="V57" s="37"/>
    </row>
    <row r="58" spans="1:22" s="27" customFormat="1" ht="15.75">
      <c r="A58" s="148">
        <f t="shared" si="17"/>
      </c>
      <c r="B58" s="149">
        <f t="shared" si="18"/>
      </c>
      <c r="C58" s="150">
        <f t="shared" si="1"/>
      </c>
      <c r="D58" s="149">
        <f t="shared" si="2"/>
      </c>
      <c r="E58" s="149">
        <f t="shared" si="19"/>
      </c>
      <c r="F58" s="151">
        <v>0</v>
      </c>
      <c r="G58" s="149">
        <f t="shared" si="20"/>
      </c>
      <c r="H58" s="152"/>
      <c r="I58" s="146"/>
      <c r="J58" s="86"/>
      <c r="K58" s="90">
        <f t="shared" si="0"/>
      </c>
      <c r="L58" s="153">
        <f t="shared" si="21"/>
      </c>
      <c r="M58" s="153">
        <f t="shared" si="22"/>
      </c>
      <c r="N58" s="153">
        <f t="shared" si="23"/>
      </c>
      <c r="O58" s="86"/>
      <c r="P58" s="86"/>
      <c r="Q58" s="158"/>
      <c r="R58" s="28"/>
      <c r="S58" s="28"/>
      <c r="T58" s="37"/>
      <c r="U58" s="37"/>
      <c r="V58" s="37"/>
    </row>
    <row r="59" spans="1:22" s="27" customFormat="1" ht="15.75">
      <c r="A59" s="148">
        <f t="shared" si="17"/>
      </c>
      <c r="B59" s="149">
        <f t="shared" si="18"/>
      </c>
      <c r="C59" s="150">
        <f t="shared" si="1"/>
      </c>
      <c r="D59" s="149">
        <f t="shared" si="2"/>
      </c>
      <c r="E59" s="149">
        <f t="shared" si="19"/>
      </c>
      <c r="F59" s="151">
        <v>0</v>
      </c>
      <c r="G59" s="149">
        <f t="shared" si="20"/>
      </c>
      <c r="H59" s="152"/>
      <c r="I59" s="146"/>
      <c r="J59" s="86"/>
      <c r="K59" s="90">
        <f t="shared" si="0"/>
      </c>
      <c r="L59" s="153">
        <f t="shared" si="21"/>
      </c>
      <c r="M59" s="153">
        <f t="shared" si="22"/>
      </c>
      <c r="N59" s="153">
        <f t="shared" si="23"/>
      </c>
      <c r="O59" s="86"/>
      <c r="P59" s="86"/>
      <c r="Q59" s="158"/>
      <c r="R59" s="28"/>
      <c r="S59" s="28"/>
      <c r="T59" s="37"/>
      <c r="U59" s="37"/>
      <c r="V59" s="37"/>
    </row>
    <row r="60" spans="1:22" s="27" customFormat="1" ht="15.75">
      <c r="A60" s="148">
        <f t="shared" si="17"/>
      </c>
      <c r="B60" s="149">
        <f t="shared" si="18"/>
      </c>
      <c r="C60" s="150">
        <f t="shared" si="1"/>
      </c>
      <c r="D60" s="149">
        <f t="shared" si="2"/>
      </c>
      <c r="E60" s="149">
        <f t="shared" si="19"/>
      </c>
      <c r="F60" s="151">
        <v>0</v>
      </c>
      <c r="G60" s="149">
        <f t="shared" si="20"/>
      </c>
      <c r="H60" s="152"/>
      <c r="I60" s="146"/>
      <c r="J60" s="86"/>
      <c r="K60" s="90">
        <f t="shared" si="0"/>
      </c>
      <c r="L60" s="153">
        <f t="shared" si="21"/>
      </c>
      <c r="M60" s="153">
        <f t="shared" si="22"/>
      </c>
      <c r="N60" s="153">
        <f t="shared" si="23"/>
      </c>
      <c r="O60" s="86"/>
      <c r="P60" s="86"/>
      <c r="Q60" s="158"/>
      <c r="R60" s="28"/>
      <c r="S60" s="28"/>
      <c r="T60" s="37"/>
      <c r="U60" s="37"/>
      <c r="V60" s="37"/>
    </row>
    <row r="61" spans="1:22" s="27" customFormat="1" ht="15.75">
      <c r="A61" s="148">
        <f t="shared" si="17"/>
      </c>
      <c r="B61" s="149">
        <f t="shared" si="18"/>
      </c>
      <c r="C61" s="150">
        <f t="shared" si="1"/>
      </c>
      <c r="D61" s="149">
        <f t="shared" si="2"/>
      </c>
      <c r="E61" s="149">
        <f t="shared" si="19"/>
      </c>
      <c r="F61" s="151">
        <v>0</v>
      </c>
      <c r="G61" s="149">
        <f t="shared" si="20"/>
      </c>
      <c r="H61" s="152"/>
      <c r="I61" s="146"/>
      <c r="J61" s="86"/>
      <c r="K61" s="90">
        <f t="shared" si="0"/>
      </c>
      <c r="L61" s="153">
        <f t="shared" si="21"/>
      </c>
      <c r="M61" s="153">
        <f t="shared" si="22"/>
      </c>
      <c r="N61" s="153">
        <f t="shared" si="23"/>
      </c>
      <c r="O61" s="86"/>
      <c r="P61" s="86"/>
      <c r="Q61" s="158"/>
      <c r="R61" s="28"/>
      <c r="S61" s="28"/>
      <c r="T61" s="37"/>
      <c r="U61" s="37"/>
      <c r="V61" s="37"/>
    </row>
    <row r="62" spans="1:22" ht="15.75">
      <c r="A62" s="148">
        <f t="shared" si="17"/>
      </c>
      <c r="B62" s="149">
        <f t="shared" si="18"/>
      </c>
      <c r="C62" s="150">
        <f t="shared" si="1"/>
      </c>
      <c r="D62" s="149">
        <f t="shared" si="2"/>
      </c>
      <c r="E62" s="149">
        <f t="shared" si="19"/>
      </c>
      <c r="F62" s="151">
        <v>0</v>
      </c>
      <c r="G62" s="149">
        <f t="shared" si="20"/>
      </c>
      <c r="H62" s="152"/>
      <c r="I62" s="146"/>
      <c r="J62" s="86"/>
      <c r="K62" s="90">
        <f t="shared" si="0"/>
      </c>
      <c r="L62" s="153">
        <f t="shared" si="21"/>
      </c>
      <c r="M62" s="153">
        <f t="shared" si="22"/>
      </c>
      <c r="N62" s="153">
        <f t="shared" si="23"/>
      </c>
      <c r="O62" s="86"/>
      <c r="P62" s="86"/>
      <c r="Q62" s="158"/>
      <c r="R62" s="28"/>
      <c r="S62" s="28"/>
      <c r="T62" s="28"/>
      <c r="U62" s="28"/>
      <c r="V62" s="28"/>
    </row>
    <row r="63" spans="1:22" ht="15.75">
      <c r="A63" s="148">
        <f t="shared" si="17"/>
      </c>
      <c r="B63" s="149">
        <f t="shared" si="18"/>
      </c>
      <c r="C63" s="150">
        <f t="shared" si="1"/>
      </c>
      <c r="D63" s="149">
        <f t="shared" si="2"/>
      </c>
      <c r="E63" s="149">
        <f t="shared" si="19"/>
      </c>
      <c r="F63" s="151">
        <v>0</v>
      </c>
      <c r="G63" s="149">
        <f t="shared" si="20"/>
      </c>
      <c r="H63" s="152"/>
      <c r="I63" s="146"/>
      <c r="J63" s="86"/>
      <c r="K63" s="90">
        <f t="shared" si="0"/>
      </c>
      <c r="L63" s="153">
        <f t="shared" si="21"/>
      </c>
      <c r="M63" s="153">
        <f t="shared" si="22"/>
      </c>
      <c r="N63" s="153">
        <f t="shared" si="23"/>
      </c>
      <c r="O63" s="86"/>
      <c r="P63" s="86"/>
      <c r="Q63" s="158"/>
      <c r="R63" s="28"/>
      <c r="S63" s="28"/>
      <c r="T63" s="28"/>
      <c r="U63" s="28"/>
      <c r="V63" s="28"/>
    </row>
    <row r="64" spans="1:22" ht="15.75">
      <c r="A64" s="148">
        <f aca="true" t="shared" si="24" ref="A64:A79">IF(G63=0,"",1+A63)</f>
      </c>
      <c r="B64" s="149">
        <f aca="true" t="shared" si="25" ref="B64:B79">IF(G63=0,"",ROUND(G63,2))</f>
      </c>
      <c r="C64" s="150">
        <f t="shared" si="1"/>
      </c>
      <c r="D64" s="149">
        <f t="shared" si="2"/>
      </c>
      <c r="E64" s="149">
        <f aca="true" t="shared" si="26" ref="E64:E79">IF(G63=0,"",C64-D64+F64)</f>
      </c>
      <c r="F64" s="151">
        <v>0</v>
      </c>
      <c r="G64" s="149">
        <f aca="true" t="shared" si="27" ref="G64:G79">IF(G63=0,"",ROUND(B64-E64,2))</f>
      </c>
      <c r="H64" s="152"/>
      <c r="I64" s="146"/>
      <c r="J64" s="86"/>
      <c r="K64" s="90">
        <f t="shared" si="0"/>
      </c>
      <c r="L64" s="153">
        <f aca="true" t="shared" si="28" ref="L64:L79">IF(G63=0,"",C64+F64+L63)</f>
      </c>
      <c r="M64" s="153">
        <f aca="true" t="shared" si="29" ref="M64:M79">IF(G63=0,"",M63+D64)</f>
      </c>
      <c r="N64" s="153">
        <f aca="true" t="shared" si="30" ref="N64:N79">IF(G63=0,"",L64-M64)</f>
      </c>
      <c r="O64" s="86"/>
      <c r="P64" s="86"/>
      <c r="Q64" s="158"/>
      <c r="R64" s="28"/>
      <c r="S64" s="28"/>
      <c r="T64" s="28"/>
      <c r="U64" s="28"/>
      <c r="V64" s="28"/>
    </row>
    <row r="65" spans="1:22" ht="15.75">
      <c r="A65" s="148">
        <f t="shared" si="24"/>
      </c>
      <c r="B65" s="149">
        <f t="shared" si="25"/>
      </c>
      <c r="C65" s="150">
        <f t="shared" si="1"/>
      </c>
      <c r="D65" s="149">
        <f t="shared" si="2"/>
      </c>
      <c r="E65" s="149">
        <f t="shared" si="26"/>
      </c>
      <c r="F65" s="151">
        <v>0</v>
      </c>
      <c r="G65" s="149">
        <f t="shared" si="27"/>
      </c>
      <c r="H65" s="152"/>
      <c r="I65" s="146"/>
      <c r="J65" s="86"/>
      <c r="K65" s="90">
        <f t="shared" si="0"/>
      </c>
      <c r="L65" s="153">
        <f t="shared" si="28"/>
      </c>
      <c r="M65" s="153">
        <f t="shared" si="29"/>
      </c>
      <c r="N65" s="153">
        <f t="shared" si="30"/>
      </c>
      <c r="O65" s="86"/>
      <c r="P65" s="86"/>
      <c r="Q65" s="158"/>
      <c r="R65" s="28"/>
      <c r="S65" s="28"/>
      <c r="T65" s="28"/>
      <c r="U65" s="28"/>
      <c r="V65" s="28"/>
    </row>
    <row r="66" spans="1:22" ht="15.75">
      <c r="A66" s="148">
        <f t="shared" si="24"/>
      </c>
      <c r="B66" s="149">
        <f t="shared" si="25"/>
      </c>
      <c r="C66" s="150">
        <f t="shared" si="1"/>
      </c>
      <c r="D66" s="149">
        <f t="shared" si="2"/>
      </c>
      <c r="E66" s="149">
        <f t="shared" si="26"/>
      </c>
      <c r="F66" s="151">
        <v>0</v>
      </c>
      <c r="G66" s="149">
        <f t="shared" si="27"/>
      </c>
      <c r="H66" s="152"/>
      <c r="I66" s="146"/>
      <c r="J66" s="86"/>
      <c r="K66" s="90">
        <f t="shared" si="0"/>
      </c>
      <c r="L66" s="153">
        <f t="shared" si="28"/>
      </c>
      <c r="M66" s="153">
        <f t="shared" si="29"/>
      </c>
      <c r="N66" s="153">
        <f t="shared" si="30"/>
      </c>
      <c r="O66" s="86"/>
      <c r="P66" s="86"/>
      <c r="Q66" s="158"/>
      <c r="R66" s="28"/>
      <c r="S66" s="28"/>
      <c r="T66" s="28"/>
      <c r="U66" s="28"/>
      <c r="V66" s="28"/>
    </row>
    <row r="67" spans="1:22" ht="15.75">
      <c r="A67" s="148">
        <f t="shared" si="24"/>
      </c>
      <c r="B67" s="149">
        <f t="shared" si="25"/>
      </c>
      <c r="C67" s="150">
        <f t="shared" si="1"/>
      </c>
      <c r="D67" s="149">
        <f t="shared" si="2"/>
      </c>
      <c r="E67" s="149">
        <f t="shared" si="26"/>
      </c>
      <c r="F67" s="151">
        <v>0</v>
      </c>
      <c r="G67" s="149">
        <f t="shared" si="27"/>
      </c>
      <c r="H67" s="152"/>
      <c r="I67" s="146"/>
      <c r="J67" s="86"/>
      <c r="K67" s="90">
        <f t="shared" si="0"/>
      </c>
      <c r="L67" s="153">
        <f t="shared" si="28"/>
      </c>
      <c r="M67" s="153">
        <f t="shared" si="29"/>
      </c>
      <c r="N67" s="153">
        <f t="shared" si="30"/>
      </c>
      <c r="O67" s="86"/>
      <c r="P67" s="86"/>
      <c r="Q67" s="158"/>
      <c r="R67" s="28"/>
      <c r="S67" s="28"/>
      <c r="T67" s="28"/>
      <c r="U67" s="28"/>
      <c r="V67" s="28"/>
    </row>
    <row r="68" spans="1:22" ht="15.75">
      <c r="A68" s="148">
        <f t="shared" si="24"/>
      </c>
      <c r="B68" s="149">
        <f t="shared" si="25"/>
      </c>
      <c r="C68" s="150">
        <f t="shared" si="1"/>
      </c>
      <c r="D68" s="149">
        <f t="shared" si="2"/>
      </c>
      <c r="E68" s="149">
        <f t="shared" si="26"/>
      </c>
      <c r="F68" s="151">
        <v>0</v>
      </c>
      <c r="G68" s="149">
        <f t="shared" si="27"/>
      </c>
      <c r="H68" s="152"/>
      <c r="I68" s="146"/>
      <c r="J68" s="86"/>
      <c r="K68" s="90">
        <f t="shared" si="0"/>
      </c>
      <c r="L68" s="153">
        <f t="shared" si="28"/>
      </c>
      <c r="M68" s="153">
        <f t="shared" si="29"/>
      </c>
      <c r="N68" s="153">
        <f t="shared" si="30"/>
      </c>
      <c r="O68" s="86"/>
      <c r="P68" s="86"/>
      <c r="Q68" s="158"/>
      <c r="R68" s="28"/>
      <c r="S68" s="28"/>
      <c r="T68" s="28"/>
      <c r="U68" s="28"/>
      <c r="V68" s="28"/>
    </row>
    <row r="69" spans="1:22" ht="15.75">
      <c r="A69" s="148">
        <f t="shared" si="24"/>
      </c>
      <c r="B69" s="149">
        <f t="shared" si="25"/>
      </c>
      <c r="C69" s="150">
        <f t="shared" si="1"/>
      </c>
      <c r="D69" s="149">
        <f t="shared" si="2"/>
      </c>
      <c r="E69" s="149">
        <f t="shared" si="26"/>
      </c>
      <c r="F69" s="151">
        <v>0</v>
      </c>
      <c r="G69" s="149">
        <f t="shared" si="27"/>
      </c>
      <c r="H69" s="152"/>
      <c r="I69" s="146"/>
      <c r="J69" s="86"/>
      <c r="K69" s="90">
        <f t="shared" si="0"/>
      </c>
      <c r="L69" s="153">
        <f t="shared" si="28"/>
      </c>
      <c r="M69" s="153">
        <f t="shared" si="29"/>
      </c>
      <c r="N69" s="153">
        <f t="shared" si="30"/>
      </c>
      <c r="O69" s="86"/>
      <c r="P69" s="86"/>
      <c r="Q69" s="158"/>
      <c r="R69" s="28"/>
      <c r="S69" s="28"/>
      <c r="T69" s="28"/>
      <c r="U69" s="28"/>
      <c r="V69" s="28"/>
    </row>
    <row r="70" spans="1:22" ht="15.75">
      <c r="A70" s="148">
        <f t="shared" si="24"/>
      </c>
      <c r="B70" s="149">
        <f t="shared" si="25"/>
      </c>
      <c r="C70" s="150">
        <f t="shared" si="1"/>
      </c>
      <c r="D70" s="149">
        <f t="shared" si="2"/>
      </c>
      <c r="E70" s="149">
        <f t="shared" si="26"/>
      </c>
      <c r="F70" s="151">
        <v>0</v>
      </c>
      <c r="G70" s="149">
        <f t="shared" si="27"/>
      </c>
      <c r="H70" s="152"/>
      <c r="I70" s="146"/>
      <c r="J70" s="86"/>
      <c r="K70" s="90">
        <f t="shared" si="0"/>
      </c>
      <c r="L70" s="153">
        <f t="shared" si="28"/>
      </c>
      <c r="M70" s="153">
        <f t="shared" si="29"/>
      </c>
      <c r="N70" s="153">
        <f t="shared" si="30"/>
      </c>
      <c r="O70" s="86"/>
      <c r="P70" s="86"/>
      <c r="Q70" s="158"/>
      <c r="R70" s="28"/>
      <c r="S70" s="28"/>
      <c r="T70" s="28"/>
      <c r="U70" s="28"/>
      <c r="V70" s="28"/>
    </row>
    <row r="71" spans="1:17" ht="15.75">
      <c r="A71" s="148">
        <f t="shared" si="24"/>
      </c>
      <c r="B71" s="149">
        <f t="shared" si="25"/>
      </c>
      <c r="C71" s="150">
        <f t="shared" si="1"/>
      </c>
      <c r="D71" s="149">
        <f t="shared" si="2"/>
      </c>
      <c r="E71" s="149">
        <f t="shared" si="26"/>
      </c>
      <c r="F71" s="151">
        <v>0</v>
      </c>
      <c r="G71" s="149">
        <f t="shared" si="27"/>
      </c>
      <c r="H71" s="152"/>
      <c r="I71" s="146"/>
      <c r="J71" s="86"/>
      <c r="K71" s="90">
        <f t="shared" si="0"/>
      </c>
      <c r="L71" s="153">
        <f t="shared" si="28"/>
      </c>
      <c r="M71" s="153">
        <f t="shared" si="29"/>
      </c>
      <c r="N71" s="153">
        <f t="shared" si="30"/>
      </c>
      <c r="O71" s="86"/>
      <c r="P71" s="86"/>
      <c r="Q71" s="158"/>
    </row>
    <row r="72" spans="1:17" ht="15.75">
      <c r="A72" s="148">
        <f t="shared" si="24"/>
      </c>
      <c r="B72" s="149">
        <f t="shared" si="25"/>
      </c>
      <c r="C72" s="150">
        <f t="shared" si="1"/>
      </c>
      <c r="D72" s="149">
        <f t="shared" si="2"/>
      </c>
      <c r="E72" s="149">
        <f t="shared" si="26"/>
      </c>
      <c r="F72" s="151">
        <v>0</v>
      </c>
      <c r="G72" s="149">
        <f t="shared" si="27"/>
      </c>
      <c r="H72" s="152"/>
      <c r="I72" s="146"/>
      <c r="J72" s="86"/>
      <c r="K72" s="90">
        <f t="shared" si="0"/>
      </c>
      <c r="L72" s="153">
        <f t="shared" si="28"/>
      </c>
      <c r="M72" s="153">
        <f t="shared" si="29"/>
      </c>
      <c r="N72" s="153">
        <f t="shared" si="30"/>
      </c>
      <c r="O72" s="86"/>
      <c r="P72" s="86"/>
      <c r="Q72" s="158"/>
    </row>
    <row r="73" spans="1:17" ht="15.75">
      <c r="A73" s="148">
        <f t="shared" si="24"/>
      </c>
      <c r="B73" s="149">
        <f t="shared" si="25"/>
      </c>
      <c r="C73" s="150">
        <f t="shared" si="1"/>
      </c>
      <c r="D73" s="149">
        <f t="shared" si="2"/>
      </c>
      <c r="E73" s="149">
        <f t="shared" si="26"/>
      </c>
      <c r="F73" s="151">
        <v>0</v>
      </c>
      <c r="G73" s="149">
        <f t="shared" si="27"/>
      </c>
      <c r="H73" s="152"/>
      <c r="I73" s="146"/>
      <c r="J73" s="86"/>
      <c r="K73" s="90">
        <f t="shared" si="0"/>
      </c>
      <c r="L73" s="153">
        <f t="shared" si="28"/>
      </c>
      <c r="M73" s="153">
        <f t="shared" si="29"/>
      </c>
      <c r="N73" s="153">
        <f t="shared" si="30"/>
      </c>
      <c r="O73" s="86"/>
      <c r="P73" s="86"/>
      <c r="Q73" s="158"/>
    </row>
    <row r="74" spans="1:17" ht="15.75">
      <c r="A74" s="148">
        <f t="shared" si="24"/>
      </c>
      <c r="B74" s="149">
        <f t="shared" si="25"/>
      </c>
      <c r="C74" s="150">
        <f t="shared" si="1"/>
      </c>
      <c r="D74" s="149">
        <f t="shared" si="2"/>
      </c>
      <c r="E74" s="149">
        <f t="shared" si="26"/>
      </c>
      <c r="F74" s="151">
        <v>0</v>
      </c>
      <c r="G74" s="149">
        <f t="shared" si="27"/>
      </c>
      <c r="H74" s="152"/>
      <c r="I74" s="146"/>
      <c r="J74" s="86"/>
      <c r="K74" s="90">
        <f t="shared" si="0"/>
      </c>
      <c r="L74" s="153">
        <f t="shared" si="28"/>
      </c>
      <c r="M74" s="153">
        <f t="shared" si="29"/>
      </c>
      <c r="N74" s="153">
        <f t="shared" si="30"/>
      </c>
      <c r="O74" s="86"/>
      <c r="P74" s="86"/>
      <c r="Q74" s="158"/>
    </row>
    <row r="75" spans="1:17" ht="15.75">
      <c r="A75" s="148">
        <f t="shared" si="24"/>
      </c>
      <c r="B75" s="149">
        <f t="shared" si="25"/>
      </c>
      <c r="C75" s="150">
        <f t="shared" si="1"/>
      </c>
      <c r="D75" s="149">
        <f t="shared" si="2"/>
      </c>
      <c r="E75" s="149">
        <f t="shared" si="26"/>
      </c>
      <c r="F75" s="151">
        <v>0</v>
      </c>
      <c r="G75" s="149">
        <f t="shared" si="27"/>
      </c>
      <c r="H75" s="152"/>
      <c r="I75" s="146"/>
      <c r="J75" s="86"/>
      <c r="K75" s="90">
        <f t="shared" si="0"/>
      </c>
      <c r="L75" s="153">
        <f t="shared" si="28"/>
      </c>
      <c r="M75" s="153">
        <f t="shared" si="29"/>
      </c>
      <c r="N75" s="153">
        <f t="shared" si="30"/>
      </c>
      <c r="O75" s="86"/>
      <c r="P75" s="86"/>
      <c r="Q75" s="158"/>
    </row>
    <row r="76" spans="1:17" ht="15.75">
      <c r="A76" s="148">
        <f t="shared" si="24"/>
      </c>
      <c r="B76" s="149">
        <f t="shared" si="25"/>
      </c>
      <c r="C76" s="150">
        <f t="shared" si="1"/>
      </c>
      <c r="D76" s="149">
        <f t="shared" si="2"/>
      </c>
      <c r="E76" s="149">
        <f t="shared" si="26"/>
      </c>
      <c r="F76" s="151">
        <v>0</v>
      </c>
      <c r="G76" s="149">
        <f t="shared" si="27"/>
      </c>
      <c r="H76" s="152"/>
      <c r="I76" s="146"/>
      <c r="J76" s="86"/>
      <c r="K76" s="90">
        <f t="shared" si="0"/>
      </c>
      <c r="L76" s="153">
        <f t="shared" si="28"/>
      </c>
      <c r="M76" s="153">
        <f t="shared" si="29"/>
      </c>
      <c r="N76" s="153">
        <f t="shared" si="30"/>
      </c>
      <c r="O76" s="86"/>
      <c r="P76" s="86"/>
      <c r="Q76" s="158"/>
    </row>
    <row r="77" spans="1:17" ht="15.75">
      <c r="A77" s="148">
        <f t="shared" si="24"/>
      </c>
      <c r="B77" s="149">
        <f t="shared" si="25"/>
      </c>
      <c r="C77" s="150">
        <f t="shared" si="1"/>
      </c>
      <c r="D77" s="149">
        <f t="shared" si="2"/>
      </c>
      <c r="E77" s="149">
        <f t="shared" si="26"/>
      </c>
      <c r="F77" s="151">
        <v>0</v>
      </c>
      <c r="G77" s="149">
        <f t="shared" si="27"/>
      </c>
      <c r="H77" s="152"/>
      <c r="I77" s="146"/>
      <c r="J77" s="86"/>
      <c r="K77" s="90">
        <f t="shared" si="0"/>
      </c>
      <c r="L77" s="153">
        <f t="shared" si="28"/>
      </c>
      <c r="M77" s="153">
        <f t="shared" si="29"/>
      </c>
      <c r="N77" s="153">
        <f t="shared" si="30"/>
      </c>
      <c r="O77" s="86"/>
      <c r="P77" s="86"/>
      <c r="Q77" s="158"/>
    </row>
    <row r="78" spans="1:17" ht="15.75">
      <c r="A78" s="148">
        <f t="shared" si="24"/>
      </c>
      <c r="B78" s="149">
        <f t="shared" si="25"/>
      </c>
      <c r="C78" s="150">
        <f t="shared" si="1"/>
      </c>
      <c r="D78" s="149">
        <f t="shared" si="2"/>
      </c>
      <c r="E78" s="149">
        <f t="shared" si="26"/>
      </c>
      <c r="F78" s="151">
        <v>0</v>
      </c>
      <c r="G78" s="149">
        <f t="shared" si="27"/>
      </c>
      <c r="H78" s="152"/>
      <c r="I78" s="146"/>
      <c r="J78" s="86"/>
      <c r="K78" s="90">
        <f aca="true" t="shared" si="31" ref="K78:K141">A78</f>
      </c>
      <c r="L78" s="153">
        <f t="shared" si="28"/>
      </c>
      <c r="M78" s="153">
        <f t="shared" si="29"/>
      </c>
      <c r="N78" s="153">
        <f t="shared" si="30"/>
      </c>
      <c r="O78" s="86"/>
      <c r="P78" s="86"/>
      <c r="Q78" s="158"/>
    </row>
    <row r="79" spans="1:17" ht="15.75">
      <c r="A79" s="148">
        <f t="shared" si="24"/>
      </c>
      <c r="B79" s="149">
        <f t="shared" si="25"/>
      </c>
      <c r="C79" s="150">
        <f aca="true" t="shared" si="32" ref="C79:C142">IF(G78=0,"",ROUND(IF(B79+D79&lt;$F$3,B79+D79,$F$3),2))</f>
      </c>
      <c r="D79" s="149">
        <f aca="true" t="shared" si="33" ref="D79:D142">IF(G78=0,"",ROUND(((1+($D$4/($D$7*100)))^($D$7/$D$6)-1)*B79,2))</f>
      </c>
      <c r="E79" s="149">
        <f t="shared" si="26"/>
      </c>
      <c r="F79" s="151">
        <v>0</v>
      </c>
      <c r="G79" s="149">
        <f t="shared" si="27"/>
      </c>
      <c r="H79" s="152"/>
      <c r="I79" s="146"/>
      <c r="J79" s="86"/>
      <c r="K79" s="90">
        <f t="shared" si="31"/>
      </c>
      <c r="L79" s="153">
        <f t="shared" si="28"/>
      </c>
      <c r="M79" s="153">
        <f t="shared" si="29"/>
      </c>
      <c r="N79" s="153">
        <f t="shared" si="30"/>
      </c>
      <c r="O79" s="86"/>
      <c r="P79" s="86"/>
      <c r="Q79" s="158"/>
    </row>
    <row r="80" spans="1:17" ht="15.75">
      <c r="A80" s="148">
        <f aca="true" t="shared" si="34" ref="A80:A95">IF(G79=0,"",1+A79)</f>
      </c>
      <c r="B80" s="149">
        <f aca="true" t="shared" si="35" ref="B80:B95">IF(G79=0,"",ROUND(G79,2))</f>
      </c>
      <c r="C80" s="150">
        <f t="shared" si="32"/>
      </c>
      <c r="D80" s="149">
        <f t="shared" si="33"/>
      </c>
      <c r="E80" s="149">
        <f aca="true" t="shared" si="36" ref="E80:E95">IF(G79=0,"",C80-D80+F80)</f>
      </c>
      <c r="F80" s="151">
        <v>0</v>
      </c>
      <c r="G80" s="149">
        <f aca="true" t="shared" si="37" ref="G80:G95">IF(G79=0,"",ROUND(B80-E80,2))</f>
      </c>
      <c r="H80" s="152"/>
      <c r="I80" s="146"/>
      <c r="J80" s="86"/>
      <c r="K80" s="90">
        <f t="shared" si="31"/>
      </c>
      <c r="L80" s="153">
        <f aca="true" t="shared" si="38" ref="L80:L95">IF(G79=0,"",C80+F80+L79)</f>
      </c>
      <c r="M80" s="153">
        <f aca="true" t="shared" si="39" ref="M80:M95">IF(G79=0,"",M79+D80)</f>
      </c>
      <c r="N80" s="153">
        <f aca="true" t="shared" si="40" ref="N80:N95">IF(G79=0,"",L80-M80)</f>
      </c>
      <c r="O80" s="86"/>
      <c r="P80" s="86"/>
      <c r="Q80" s="158"/>
    </row>
    <row r="81" spans="1:17" ht="15.75">
      <c r="A81" s="148">
        <f t="shared" si="34"/>
      </c>
      <c r="B81" s="149">
        <f t="shared" si="35"/>
      </c>
      <c r="C81" s="150">
        <f t="shared" si="32"/>
      </c>
      <c r="D81" s="149">
        <f t="shared" si="33"/>
      </c>
      <c r="E81" s="149">
        <f t="shared" si="36"/>
      </c>
      <c r="F81" s="151">
        <v>0</v>
      </c>
      <c r="G81" s="149">
        <f t="shared" si="37"/>
      </c>
      <c r="H81" s="152"/>
      <c r="I81" s="146"/>
      <c r="J81" s="86"/>
      <c r="K81" s="90">
        <f t="shared" si="31"/>
      </c>
      <c r="L81" s="153">
        <f t="shared" si="38"/>
      </c>
      <c r="M81" s="153">
        <f t="shared" si="39"/>
      </c>
      <c r="N81" s="153">
        <f t="shared" si="40"/>
      </c>
      <c r="O81" s="86"/>
      <c r="P81" s="86"/>
      <c r="Q81" s="158"/>
    </row>
    <row r="82" spans="1:17" ht="15.75">
      <c r="A82" s="148">
        <f t="shared" si="34"/>
      </c>
      <c r="B82" s="149">
        <f t="shared" si="35"/>
      </c>
      <c r="C82" s="150">
        <f t="shared" si="32"/>
      </c>
      <c r="D82" s="149">
        <f t="shared" si="33"/>
      </c>
      <c r="E82" s="149">
        <f t="shared" si="36"/>
      </c>
      <c r="F82" s="151">
        <v>0</v>
      </c>
      <c r="G82" s="149">
        <f t="shared" si="37"/>
      </c>
      <c r="H82" s="152"/>
      <c r="I82" s="146"/>
      <c r="J82" s="86"/>
      <c r="K82" s="90">
        <f t="shared" si="31"/>
      </c>
      <c r="L82" s="153">
        <f t="shared" si="38"/>
      </c>
      <c r="M82" s="153">
        <f t="shared" si="39"/>
      </c>
      <c r="N82" s="153">
        <f t="shared" si="40"/>
      </c>
      <c r="O82" s="86"/>
      <c r="P82" s="86"/>
      <c r="Q82" s="158"/>
    </row>
    <row r="83" spans="1:17" ht="15.75">
      <c r="A83" s="148">
        <f t="shared" si="34"/>
      </c>
      <c r="B83" s="149">
        <f t="shared" si="35"/>
      </c>
      <c r="C83" s="150">
        <f t="shared" si="32"/>
      </c>
      <c r="D83" s="149">
        <f t="shared" si="33"/>
      </c>
      <c r="E83" s="149">
        <f t="shared" si="36"/>
      </c>
      <c r="F83" s="151">
        <v>0</v>
      </c>
      <c r="G83" s="149">
        <f t="shared" si="37"/>
      </c>
      <c r="H83" s="152"/>
      <c r="I83" s="146"/>
      <c r="J83" s="86"/>
      <c r="K83" s="90">
        <f t="shared" si="31"/>
      </c>
      <c r="L83" s="153">
        <f t="shared" si="38"/>
      </c>
      <c r="M83" s="153">
        <f t="shared" si="39"/>
      </c>
      <c r="N83" s="153">
        <f t="shared" si="40"/>
      </c>
      <c r="O83" s="86"/>
      <c r="P83" s="86"/>
      <c r="Q83" s="158"/>
    </row>
    <row r="84" spans="1:17" ht="15.75">
      <c r="A84" s="148">
        <f t="shared" si="34"/>
      </c>
      <c r="B84" s="149">
        <f t="shared" si="35"/>
      </c>
      <c r="C84" s="150">
        <f t="shared" si="32"/>
      </c>
      <c r="D84" s="149">
        <f t="shared" si="33"/>
      </c>
      <c r="E84" s="149">
        <f t="shared" si="36"/>
      </c>
      <c r="F84" s="151">
        <v>0</v>
      </c>
      <c r="G84" s="149">
        <f t="shared" si="37"/>
      </c>
      <c r="H84" s="152"/>
      <c r="I84" s="146"/>
      <c r="J84" s="86"/>
      <c r="K84" s="90">
        <f t="shared" si="31"/>
      </c>
      <c r="L84" s="153">
        <f t="shared" si="38"/>
      </c>
      <c r="M84" s="153">
        <f t="shared" si="39"/>
      </c>
      <c r="N84" s="153">
        <f t="shared" si="40"/>
      </c>
      <c r="O84" s="86"/>
      <c r="P84" s="86"/>
      <c r="Q84" s="158"/>
    </row>
    <row r="85" spans="1:17" ht="15.75">
      <c r="A85" s="148">
        <f t="shared" si="34"/>
      </c>
      <c r="B85" s="149">
        <f t="shared" si="35"/>
      </c>
      <c r="C85" s="150">
        <f t="shared" si="32"/>
      </c>
      <c r="D85" s="149">
        <f t="shared" si="33"/>
      </c>
      <c r="E85" s="149">
        <f t="shared" si="36"/>
      </c>
      <c r="F85" s="151">
        <v>0</v>
      </c>
      <c r="G85" s="149">
        <f t="shared" si="37"/>
      </c>
      <c r="H85" s="152"/>
      <c r="I85" s="146"/>
      <c r="J85" s="86"/>
      <c r="K85" s="90">
        <f t="shared" si="31"/>
      </c>
      <c r="L85" s="153">
        <f t="shared" si="38"/>
      </c>
      <c r="M85" s="153">
        <f t="shared" si="39"/>
      </c>
      <c r="N85" s="153">
        <f t="shared" si="40"/>
      </c>
      <c r="O85" s="86"/>
      <c r="P85" s="86"/>
      <c r="Q85" s="158"/>
    </row>
    <row r="86" spans="1:17" ht="15.75">
      <c r="A86" s="148">
        <f t="shared" si="34"/>
      </c>
      <c r="B86" s="149">
        <f t="shared" si="35"/>
      </c>
      <c r="C86" s="150">
        <f t="shared" si="32"/>
      </c>
      <c r="D86" s="149">
        <f t="shared" si="33"/>
      </c>
      <c r="E86" s="149">
        <f t="shared" si="36"/>
      </c>
      <c r="F86" s="151">
        <v>0</v>
      </c>
      <c r="G86" s="149">
        <f t="shared" si="37"/>
      </c>
      <c r="H86" s="152"/>
      <c r="I86" s="146"/>
      <c r="J86" s="86"/>
      <c r="K86" s="90">
        <f t="shared" si="31"/>
      </c>
      <c r="L86" s="153">
        <f t="shared" si="38"/>
      </c>
      <c r="M86" s="153">
        <f t="shared" si="39"/>
      </c>
      <c r="N86" s="153">
        <f t="shared" si="40"/>
      </c>
      <c r="O86" s="86"/>
      <c r="P86" s="86"/>
      <c r="Q86" s="158"/>
    </row>
    <row r="87" spans="1:17" ht="15.75">
      <c r="A87" s="148">
        <f t="shared" si="34"/>
      </c>
      <c r="B87" s="149">
        <f t="shared" si="35"/>
      </c>
      <c r="C87" s="150">
        <f t="shared" si="32"/>
      </c>
      <c r="D87" s="149">
        <f t="shared" si="33"/>
      </c>
      <c r="E87" s="149">
        <f t="shared" si="36"/>
      </c>
      <c r="F87" s="151">
        <v>0</v>
      </c>
      <c r="G87" s="149">
        <f t="shared" si="37"/>
      </c>
      <c r="H87" s="152"/>
      <c r="I87" s="146"/>
      <c r="J87" s="86"/>
      <c r="K87" s="90">
        <f t="shared" si="31"/>
      </c>
      <c r="L87" s="153">
        <f t="shared" si="38"/>
      </c>
      <c r="M87" s="153">
        <f t="shared" si="39"/>
      </c>
      <c r="N87" s="153">
        <f t="shared" si="40"/>
      </c>
      <c r="O87" s="86"/>
      <c r="P87" s="86"/>
      <c r="Q87" s="158"/>
    </row>
    <row r="88" spans="1:17" ht="15.75">
      <c r="A88" s="148">
        <f t="shared" si="34"/>
      </c>
      <c r="B88" s="149">
        <f t="shared" si="35"/>
      </c>
      <c r="C88" s="150">
        <f t="shared" si="32"/>
      </c>
      <c r="D88" s="149">
        <f t="shared" si="33"/>
      </c>
      <c r="E88" s="149">
        <f t="shared" si="36"/>
      </c>
      <c r="F88" s="151">
        <v>0</v>
      </c>
      <c r="G88" s="149">
        <f t="shared" si="37"/>
      </c>
      <c r="H88" s="152"/>
      <c r="I88" s="146"/>
      <c r="J88" s="86"/>
      <c r="K88" s="90">
        <f t="shared" si="31"/>
      </c>
      <c r="L88" s="153">
        <f t="shared" si="38"/>
      </c>
      <c r="M88" s="153">
        <f t="shared" si="39"/>
      </c>
      <c r="N88" s="153">
        <f t="shared" si="40"/>
      </c>
      <c r="O88" s="86"/>
      <c r="P88" s="86"/>
      <c r="Q88" s="158"/>
    </row>
    <row r="89" spans="1:17" ht="15.75">
      <c r="A89" s="148">
        <f t="shared" si="34"/>
      </c>
      <c r="B89" s="149">
        <f t="shared" si="35"/>
      </c>
      <c r="C89" s="150">
        <f t="shared" si="32"/>
      </c>
      <c r="D89" s="149">
        <f t="shared" si="33"/>
      </c>
      <c r="E89" s="149">
        <f t="shared" si="36"/>
      </c>
      <c r="F89" s="151">
        <v>0</v>
      </c>
      <c r="G89" s="149">
        <f t="shared" si="37"/>
      </c>
      <c r="H89" s="152"/>
      <c r="I89" s="146"/>
      <c r="J89" s="86"/>
      <c r="K89" s="90">
        <f t="shared" si="31"/>
      </c>
      <c r="L89" s="153">
        <f t="shared" si="38"/>
      </c>
      <c r="M89" s="153">
        <f t="shared" si="39"/>
      </c>
      <c r="N89" s="153">
        <f t="shared" si="40"/>
      </c>
      <c r="O89" s="86"/>
      <c r="P89" s="86"/>
      <c r="Q89" s="158"/>
    </row>
    <row r="90" spans="1:17" ht="15.75">
      <c r="A90" s="148">
        <f t="shared" si="34"/>
      </c>
      <c r="B90" s="149">
        <f t="shared" si="35"/>
      </c>
      <c r="C90" s="150">
        <f t="shared" si="32"/>
      </c>
      <c r="D90" s="149">
        <f t="shared" si="33"/>
      </c>
      <c r="E90" s="149">
        <f t="shared" si="36"/>
      </c>
      <c r="F90" s="151">
        <v>0</v>
      </c>
      <c r="G90" s="149">
        <f t="shared" si="37"/>
      </c>
      <c r="H90" s="152"/>
      <c r="I90" s="146"/>
      <c r="J90" s="86"/>
      <c r="K90" s="90">
        <f t="shared" si="31"/>
      </c>
      <c r="L90" s="153">
        <f t="shared" si="38"/>
      </c>
      <c r="M90" s="153">
        <f t="shared" si="39"/>
      </c>
      <c r="N90" s="153">
        <f t="shared" si="40"/>
      </c>
      <c r="O90" s="86"/>
      <c r="P90" s="86"/>
      <c r="Q90" s="158"/>
    </row>
    <row r="91" spans="1:17" ht="15.75">
      <c r="A91" s="148">
        <f t="shared" si="34"/>
      </c>
      <c r="B91" s="149">
        <f t="shared" si="35"/>
      </c>
      <c r="C91" s="150">
        <f t="shared" si="32"/>
      </c>
      <c r="D91" s="149">
        <f t="shared" si="33"/>
      </c>
      <c r="E91" s="149">
        <f t="shared" si="36"/>
      </c>
      <c r="F91" s="151">
        <v>0</v>
      </c>
      <c r="G91" s="149">
        <f t="shared" si="37"/>
      </c>
      <c r="H91" s="152"/>
      <c r="I91" s="146"/>
      <c r="J91" s="86"/>
      <c r="K91" s="90">
        <f t="shared" si="31"/>
      </c>
      <c r="L91" s="153">
        <f t="shared" si="38"/>
      </c>
      <c r="M91" s="153">
        <f t="shared" si="39"/>
      </c>
      <c r="N91" s="153">
        <f t="shared" si="40"/>
      </c>
      <c r="O91" s="86"/>
      <c r="P91" s="86"/>
      <c r="Q91" s="158"/>
    </row>
    <row r="92" spans="1:17" ht="15.75">
      <c r="A92" s="148">
        <f t="shared" si="34"/>
      </c>
      <c r="B92" s="149">
        <f t="shared" si="35"/>
      </c>
      <c r="C92" s="150">
        <f t="shared" si="32"/>
      </c>
      <c r="D92" s="149">
        <f t="shared" si="33"/>
      </c>
      <c r="E92" s="149">
        <f t="shared" si="36"/>
      </c>
      <c r="F92" s="151">
        <v>0</v>
      </c>
      <c r="G92" s="149">
        <f t="shared" si="37"/>
      </c>
      <c r="H92" s="152"/>
      <c r="I92" s="146"/>
      <c r="J92" s="86"/>
      <c r="K92" s="90">
        <f t="shared" si="31"/>
      </c>
      <c r="L92" s="153">
        <f t="shared" si="38"/>
      </c>
      <c r="M92" s="153">
        <f t="shared" si="39"/>
      </c>
      <c r="N92" s="153">
        <f t="shared" si="40"/>
      </c>
      <c r="O92" s="86"/>
      <c r="P92" s="86"/>
      <c r="Q92" s="158"/>
    </row>
    <row r="93" spans="1:17" ht="15.75">
      <c r="A93" s="148">
        <f t="shared" si="34"/>
      </c>
      <c r="B93" s="149">
        <f t="shared" si="35"/>
      </c>
      <c r="C93" s="150">
        <f t="shared" si="32"/>
      </c>
      <c r="D93" s="149">
        <f t="shared" si="33"/>
      </c>
      <c r="E93" s="149">
        <f t="shared" si="36"/>
      </c>
      <c r="F93" s="151">
        <v>0</v>
      </c>
      <c r="G93" s="149">
        <f t="shared" si="37"/>
      </c>
      <c r="H93" s="152"/>
      <c r="I93" s="146"/>
      <c r="J93" s="86"/>
      <c r="K93" s="90">
        <f t="shared" si="31"/>
      </c>
      <c r="L93" s="153">
        <f t="shared" si="38"/>
      </c>
      <c r="M93" s="153">
        <f t="shared" si="39"/>
      </c>
      <c r="N93" s="153">
        <f t="shared" si="40"/>
      </c>
      <c r="O93" s="86"/>
      <c r="P93" s="86"/>
      <c r="Q93" s="158"/>
    </row>
    <row r="94" spans="1:17" ht="15.75">
      <c r="A94" s="148">
        <f t="shared" si="34"/>
      </c>
      <c r="B94" s="149">
        <f t="shared" si="35"/>
      </c>
      <c r="C94" s="150">
        <f t="shared" si="32"/>
      </c>
      <c r="D94" s="149">
        <f t="shared" si="33"/>
      </c>
      <c r="E94" s="149">
        <f t="shared" si="36"/>
      </c>
      <c r="F94" s="151">
        <v>0</v>
      </c>
      <c r="G94" s="149">
        <f t="shared" si="37"/>
      </c>
      <c r="H94" s="152"/>
      <c r="I94" s="146"/>
      <c r="J94" s="86"/>
      <c r="K94" s="90">
        <f t="shared" si="31"/>
      </c>
      <c r="L94" s="153">
        <f t="shared" si="38"/>
      </c>
      <c r="M94" s="153">
        <f t="shared" si="39"/>
      </c>
      <c r="N94" s="153">
        <f t="shared" si="40"/>
      </c>
      <c r="O94" s="86"/>
      <c r="P94" s="86"/>
      <c r="Q94" s="158"/>
    </row>
    <row r="95" spans="1:17" ht="15.75">
      <c r="A95" s="148">
        <f t="shared" si="34"/>
      </c>
      <c r="B95" s="149">
        <f t="shared" si="35"/>
      </c>
      <c r="C95" s="150">
        <f t="shared" si="32"/>
      </c>
      <c r="D95" s="149">
        <f t="shared" si="33"/>
      </c>
      <c r="E95" s="149">
        <f t="shared" si="36"/>
      </c>
      <c r="F95" s="151">
        <v>0</v>
      </c>
      <c r="G95" s="149">
        <f t="shared" si="37"/>
      </c>
      <c r="H95" s="152"/>
      <c r="I95" s="146"/>
      <c r="J95" s="86"/>
      <c r="K95" s="90">
        <f t="shared" si="31"/>
      </c>
      <c r="L95" s="153">
        <f t="shared" si="38"/>
      </c>
      <c r="M95" s="153">
        <f t="shared" si="39"/>
      </c>
      <c r="N95" s="153">
        <f t="shared" si="40"/>
      </c>
      <c r="O95" s="86"/>
      <c r="P95" s="86"/>
      <c r="Q95" s="158"/>
    </row>
    <row r="96" spans="1:17" ht="15.75">
      <c r="A96" s="148">
        <f aca="true" t="shared" si="41" ref="A96:A111">IF(G95=0,"",1+A95)</f>
      </c>
      <c r="B96" s="149">
        <f aca="true" t="shared" si="42" ref="B96:B111">IF(G95=0,"",ROUND(G95,2))</f>
      </c>
      <c r="C96" s="150">
        <f t="shared" si="32"/>
      </c>
      <c r="D96" s="149">
        <f t="shared" si="33"/>
      </c>
      <c r="E96" s="149">
        <f aca="true" t="shared" si="43" ref="E96:E111">IF(G95=0,"",C96-D96+F96)</f>
      </c>
      <c r="F96" s="151">
        <v>0</v>
      </c>
      <c r="G96" s="149">
        <f aca="true" t="shared" si="44" ref="G96:G111">IF(G95=0,"",ROUND(B96-E96,2))</f>
      </c>
      <c r="H96" s="152"/>
      <c r="I96" s="146"/>
      <c r="J96" s="86"/>
      <c r="K96" s="90">
        <f t="shared" si="31"/>
      </c>
      <c r="L96" s="153">
        <f aca="true" t="shared" si="45" ref="L96:L111">IF(G95=0,"",C96+F96+L95)</f>
      </c>
      <c r="M96" s="153">
        <f aca="true" t="shared" si="46" ref="M96:M111">IF(G95=0,"",M95+D96)</f>
      </c>
      <c r="N96" s="153">
        <f aca="true" t="shared" si="47" ref="N96:N111">IF(G95=0,"",L96-M96)</f>
      </c>
      <c r="O96" s="86"/>
      <c r="P96" s="86"/>
      <c r="Q96" s="158"/>
    </row>
    <row r="97" spans="1:17" ht="15.75">
      <c r="A97" s="148">
        <f t="shared" si="41"/>
      </c>
      <c r="B97" s="149">
        <f t="shared" si="42"/>
      </c>
      <c r="C97" s="150">
        <f t="shared" si="32"/>
      </c>
      <c r="D97" s="149">
        <f t="shared" si="33"/>
      </c>
      <c r="E97" s="149">
        <f t="shared" si="43"/>
      </c>
      <c r="F97" s="151">
        <v>0</v>
      </c>
      <c r="G97" s="149">
        <f t="shared" si="44"/>
      </c>
      <c r="H97" s="152"/>
      <c r="I97" s="146"/>
      <c r="J97" s="86"/>
      <c r="K97" s="90">
        <f t="shared" si="31"/>
      </c>
      <c r="L97" s="153">
        <f t="shared" si="45"/>
      </c>
      <c r="M97" s="153">
        <f t="shared" si="46"/>
      </c>
      <c r="N97" s="153">
        <f t="shared" si="47"/>
      </c>
      <c r="O97" s="86"/>
      <c r="P97" s="86"/>
      <c r="Q97" s="158"/>
    </row>
    <row r="98" spans="1:17" ht="15.75">
      <c r="A98" s="148">
        <f t="shared" si="41"/>
      </c>
      <c r="B98" s="149">
        <f t="shared" si="42"/>
      </c>
      <c r="C98" s="150">
        <f t="shared" si="32"/>
      </c>
      <c r="D98" s="149">
        <f t="shared" si="33"/>
      </c>
      <c r="E98" s="149">
        <f t="shared" si="43"/>
      </c>
      <c r="F98" s="151">
        <v>0</v>
      </c>
      <c r="G98" s="149">
        <f t="shared" si="44"/>
      </c>
      <c r="H98" s="152"/>
      <c r="I98" s="146"/>
      <c r="J98" s="86"/>
      <c r="K98" s="90">
        <f t="shared" si="31"/>
      </c>
      <c r="L98" s="153">
        <f t="shared" si="45"/>
      </c>
      <c r="M98" s="153">
        <f t="shared" si="46"/>
      </c>
      <c r="N98" s="153">
        <f t="shared" si="47"/>
      </c>
      <c r="O98" s="86"/>
      <c r="P98" s="86"/>
      <c r="Q98" s="158"/>
    </row>
    <row r="99" spans="1:17" ht="15.75">
      <c r="A99" s="148">
        <f t="shared" si="41"/>
      </c>
      <c r="B99" s="149">
        <f t="shared" si="42"/>
      </c>
      <c r="C99" s="150">
        <f t="shared" si="32"/>
      </c>
      <c r="D99" s="149">
        <f t="shared" si="33"/>
      </c>
      <c r="E99" s="149">
        <f t="shared" si="43"/>
      </c>
      <c r="F99" s="151">
        <v>0</v>
      </c>
      <c r="G99" s="149">
        <f t="shared" si="44"/>
      </c>
      <c r="H99" s="152"/>
      <c r="I99" s="146"/>
      <c r="J99" s="86"/>
      <c r="K99" s="90">
        <f t="shared" si="31"/>
      </c>
      <c r="L99" s="153">
        <f t="shared" si="45"/>
      </c>
      <c r="M99" s="153">
        <f t="shared" si="46"/>
      </c>
      <c r="N99" s="153">
        <f t="shared" si="47"/>
      </c>
      <c r="O99" s="86"/>
      <c r="P99" s="86"/>
      <c r="Q99" s="158"/>
    </row>
    <row r="100" spans="1:17" ht="15.75">
      <c r="A100" s="148">
        <f t="shared" si="41"/>
      </c>
      <c r="B100" s="149">
        <f t="shared" si="42"/>
      </c>
      <c r="C100" s="150">
        <f t="shared" si="32"/>
      </c>
      <c r="D100" s="149">
        <f t="shared" si="33"/>
      </c>
      <c r="E100" s="149">
        <f t="shared" si="43"/>
      </c>
      <c r="F100" s="151">
        <v>0</v>
      </c>
      <c r="G100" s="149">
        <f t="shared" si="44"/>
      </c>
      <c r="H100" s="152"/>
      <c r="I100" s="146"/>
      <c r="J100" s="86"/>
      <c r="K100" s="90">
        <f t="shared" si="31"/>
      </c>
      <c r="L100" s="153">
        <f t="shared" si="45"/>
      </c>
      <c r="M100" s="153">
        <f t="shared" si="46"/>
      </c>
      <c r="N100" s="153">
        <f t="shared" si="47"/>
      </c>
      <c r="O100" s="86"/>
      <c r="P100" s="86"/>
      <c r="Q100" s="158"/>
    </row>
    <row r="101" spans="1:17" ht="15.75">
      <c r="A101" s="148">
        <f t="shared" si="41"/>
      </c>
      <c r="B101" s="149">
        <f t="shared" si="42"/>
      </c>
      <c r="C101" s="150">
        <f t="shared" si="32"/>
      </c>
      <c r="D101" s="149">
        <f t="shared" si="33"/>
      </c>
      <c r="E101" s="149">
        <f t="shared" si="43"/>
      </c>
      <c r="F101" s="151">
        <v>0</v>
      </c>
      <c r="G101" s="149">
        <f t="shared" si="44"/>
      </c>
      <c r="H101" s="152"/>
      <c r="I101" s="146"/>
      <c r="J101" s="86"/>
      <c r="K101" s="90">
        <f t="shared" si="31"/>
      </c>
      <c r="L101" s="153">
        <f t="shared" si="45"/>
      </c>
      <c r="M101" s="153">
        <f t="shared" si="46"/>
      </c>
      <c r="N101" s="153">
        <f t="shared" si="47"/>
      </c>
      <c r="O101" s="86"/>
      <c r="P101" s="86"/>
      <c r="Q101" s="158"/>
    </row>
    <row r="102" spans="1:17" ht="15.75">
      <c r="A102" s="148">
        <f t="shared" si="41"/>
      </c>
      <c r="B102" s="149">
        <f t="shared" si="42"/>
      </c>
      <c r="C102" s="150">
        <f t="shared" si="32"/>
      </c>
      <c r="D102" s="149">
        <f t="shared" si="33"/>
      </c>
      <c r="E102" s="149">
        <f t="shared" si="43"/>
      </c>
      <c r="F102" s="151">
        <v>0</v>
      </c>
      <c r="G102" s="149">
        <f t="shared" si="44"/>
      </c>
      <c r="H102" s="152"/>
      <c r="I102" s="146"/>
      <c r="J102" s="86"/>
      <c r="K102" s="90">
        <f t="shared" si="31"/>
      </c>
      <c r="L102" s="153">
        <f t="shared" si="45"/>
      </c>
      <c r="M102" s="153">
        <f t="shared" si="46"/>
      </c>
      <c r="N102" s="153">
        <f t="shared" si="47"/>
      </c>
      <c r="O102" s="86"/>
      <c r="P102" s="86"/>
      <c r="Q102" s="158"/>
    </row>
    <row r="103" spans="1:17" ht="15.75">
      <c r="A103" s="148">
        <f t="shared" si="41"/>
      </c>
      <c r="B103" s="149">
        <f t="shared" si="42"/>
      </c>
      <c r="C103" s="150">
        <f t="shared" si="32"/>
      </c>
      <c r="D103" s="149">
        <f t="shared" si="33"/>
      </c>
      <c r="E103" s="149">
        <f t="shared" si="43"/>
      </c>
      <c r="F103" s="151">
        <v>0</v>
      </c>
      <c r="G103" s="149">
        <f t="shared" si="44"/>
      </c>
      <c r="H103" s="152"/>
      <c r="I103" s="146"/>
      <c r="J103" s="86"/>
      <c r="K103" s="90">
        <f t="shared" si="31"/>
      </c>
      <c r="L103" s="153">
        <f t="shared" si="45"/>
      </c>
      <c r="M103" s="153">
        <f t="shared" si="46"/>
      </c>
      <c r="N103" s="153">
        <f t="shared" si="47"/>
      </c>
      <c r="O103" s="86"/>
      <c r="P103" s="86"/>
      <c r="Q103" s="158"/>
    </row>
    <row r="104" spans="1:17" ht="15.75">
      <c r="A104" s="148">
        <f t="shared" si="41"/>
      </c>
      <c r="B104" s="149">
        <f t="shared" si="42"/>
      </c>
      <c r="C104" s="150">
        <f t="shared" si="32"/>
      </c>
      <c r="D104" s="149">
        <f t="shared" si="33"/>
      </c>
      <c r="E104" s="149">
        <f t="shared" si="43"/>
      </c>
      <c r="F104" s="151">
        <v>0</v>
      </c>
      <c r="G104" s="149">
        <f t="shared" si="44"/>
      </c>
      <c r="H104" s="152"/>
      <c r="I104" s="146"/>
      <c r="J104" s="86"/>
      <c r="K104" s="90">
        <f t="shared" si="31"/>
      </c>
      <c r="L104" s="153">
        <f t="shared" si="45"/>
      </c>
      <c r="M104" s="153">
        <f t="shared" si="46"/>
      </c>
      <c r="N104" s="153">
        <f t="shared" si="47"/>
      </c>
      <c r="O104" s="86"/>
      <c r="P104" s="86"/>
      <c r="Q104" s="158"/>
    </row>
    <row r="105" spans="1:17" ht="15.75">
      <c r="A105" s="148">
        <f t="shared" si="41"/>
      </c>
      <c r="B105" s="149">
        <f t="shared" si="42"/>
      </c>
      <c r="C105" s="150">
        <f t="shared" si="32"/>
      </c>
      <c r="D105" s="149">
        <f t="shared" si="33"/>
      </c>
      <c r="E105" s="149">
        <f t="shared" si="43"/>
      </c>
      <c r="F105" s="151">
        <v>0</v>
      </c>
      <c r="G105" s="149">
        <f t="shared" si="44"/>
      </c>
      <c r="H105" s="152"/>
      <c r="I105" s="146"/>
      <c r="J105" s="86"/>
      <c r="K105" s="90">
        <f t="shared" si="31"/>
      </c>
      <c r="L105" s="153">
        <f t="shared" si="45"/>
      </c>
      <c r="M105" s="153">
        <f t="shared" si="46"/>
      </c>
      <c r="N105" s="153">
        <f t="shared" si="47"/>
      </c>
      <c r="O105" s="86"/>
      <c r="P105" s="86"/>
      <c r="Q105" s="158"/>
    </row>
    <row r="106" spans="1:17" ht="15.75">
      <c r="A106" s="148">
        <f t="shared" si="41"/>
      </c>
      <c r="B106" s="149">
        <f t="shared" si="42"/>
      </c>
      <c r="C106" s="150">
        <f t="shared" si="32"/>
      </c>
      <c r="D106" s="149">
        <f t="shared" si="33"/>
      </c>
      <c r="E106" s="149">
        <f t="shared" si="43"/>
      </c>
      <c r="F106" s="151">
        <v>0</v>
      </c>
      <c r="G106" s="149">
        <f t="shared" si="44"/>
      </c>
      <c r="H106" s="152"/>
      <c r="I106" s="146"/>
      <c r="J106" s="86"/>
      <c r="K106" s="90">
        <f t="shared" si="31"/>
      </c>
      <c r="L106" s="153">
        <f t="shared" si="45"/>
      </c>
      <c r="M106" s="153">
        <f t="shared" si="46"/>
      </c>
      <c r="N106" s="153">
        <f t="shared" si="47"/>
      </c>
      <c r="O106" s="86"/>
      <c r="P106" s="86"/>
      <c r="Q106" s="158"/>
    </row>
    <row r="107" spans="1:17" ht="15.75">
      <c r="A107" s="148">
        <f t="shared" si="41"/>
      </c>
      <c r="B107" s="149">
        <f t="shared" si="42"/>
      </c>
      <c r="C107" s="150">
        <f t="shared" si="32"/>
      </c>
      <c r="D107" s="149">
        <f t="shared" si="33"/>
      </c>
      <c r="E107" s="149">
        <f t="shared" si="43"/>
      </c>
      <c r="F107" s="151">
        <v>0</v>
      </c>
      <c r="G107" s="149">
        <f t="shared" si="44"/>
      </c>
      <c r="H107" s="152"/>
      <c r="I107" s="146"/>
      <c r="J107" s="86"/>
      <c r="K107" s="90">
        <f t="shared" si="31"/>
      </c>
      <c r="L107" s="153">
        <f t="shared" si="45"/>
      </c>
      <c r="M107" s="153">
        <f t="shared" si="46"/>
      </c>
      <c r="N107" s="153">
        <f t="shared" si="47"/>
      </c>
      <c r="O107" s="86"/>
      <c r="P107" s="86"/>
      <c r="Q107" s="158"/>
    </row>
    <row r="108" spans="1:17" ht="15.75">
      <c r="A108" s="148">
        <f t="shared" si="41"/>
      </c>
      <c r="B108" s="149">
        <f t="shared" si="42"/>
      </c>
      <c r="C108" s="150">
        <f t="shared" si="32"/>
      </c>
      <c r="D108" s="149">
        <f t="shared" si="33"/>
      </c>
      <c r="E108" s="149">
        <f t="shared" si="43"/>
      </c>
      <c r="F108" s="151">
        <v>0</v>
      </c>
      <c r="G108" s="149">
        <f t="shared" si="44"/>
      </c>
      <c r="H108" s="152"/>
      <c r="I108" s="146"/>
      <c r="J108" s="86"/>
      <c r="K108" s="90">
        <f t="shared" si="31"/>
      </c>
      <c r="L108" s="153">
        <f t="shared" si="45"/>
      </c>
      <c r="M108" s="153">
        <f t="shared" si="46"/>
      </c>
      <c r="N108" s="153">
        <f t="shared" si="47"/>
      </c>
      <c r="O108" s="86"/>
      <c r="P108" s="86"/>
      <c r="Q108" s="158"/>
    </row>
    <row r="109" spans="1:17" ht="15.75">
      <c r="A109" s="148">
        <f t="shared" si="41"/>
      </c>
      <c r="B109" s="149">
        <f t="shared" si="42"/>
      </c>
      <c r="C109" s="150">
        <f t="shared" si="32"/>
      </c>
      <c r="D109" s="149">
        <f t="shared" si="33"/>
      </c>
      <c r="E109" s="149">
        <f t="shared" si="43"/>
      </c>
      <c r="F109" s="151">
        <v>0</v>
      </c>
      <c r="G109" s="149">
        <f t="shared" si="44"/>
      </c>
      <c r="H109" s="152"/>
      <c r="I109" s="146"/>
      <c r="J109" s="86"/>
      <c r="K109" s="90">
        <f t="shared" si="31"/>
      </c>
      <c r="L109" s="153">
        <f t="shared" si="45"/>
      </c>
      <c r="M109" s="153">
        <f t="shared" si="46"/>
      </c>
      <c r="N109" s="153">
        <f t="shared" si="47"/>
      </c>
      <c r="O109" s="86"/>
      <c r="P109" s="86"/>
      <c r="Q109" s="158"/>
    </row>
    <row r="110" spans="1:17" ht="15.75">
      <c r="A110" s="148">
        <f t="shared" si="41"/>
      </c>
      <c r="B110" s="149">
        <f t="shared" si="42"/>
      </c>
      <c r="C110" s="150">
        <f t="shared" si="32"/>
      </c>
      <c r="D110" s="149">
        <f t="shared" si="33"/>
      </c>
      <c r="E110" s="149">
        <f t="shared" si="43"/>
      </c>
      <c r="F110" s="151">
        <v>0</v>
      </c>
      <c r="G110" s="149">
        <f t="shared" si="44"/>
      </c>
      <c r="H110" s="152"/>
      <c r="I110" s="146"/>
      <c r="J110" s="86"/>
      <c r="K110" s="90">
        <f t="shared" si="31"/>
      </c>
      <c r="L110" s="153">
        <f t="shared" si="45"/>
      </c>
      <c r="M110" s="153">
        <f t="shared" si="46"/>
      </c>
      <c r="N110" s="153">
        <f t="shared" si="47"/>
      </c>
      <c r="O110" s="86"/>
      <c r="P110" s="86"/>
      <c r="Q110" s="158"/>
    </row>
    <row r="111" spans="1:17" ht="15.75">
      <c r="A111" s="148">
        <f t="shared" si="41"/>
      </c>
      <c r="B111" s="149">
        <f t="shared" si="42"/>
      </c>
      <c r="C111" s="150">
        <f t="shared" si="32"/>
      </c>
      <c r="D111" s="149">
        <f t="shared" si="33"/>
      </c>
      <c r="E111" s="149">
        <f t="shared" si="43"/>
      </c>
      <c r="F111" s="151">
        <v>0</v>
      </c>
      <c r="G111" s="149">
        <f t="shared" si="44"/>
      </c>
      <c r="H111" s="152"/>
      <c r="I111" s="146"/>
      <c r="J111" s="86"/>
      <c r="K111" s="90">
        <f t="shared" si="31"/>
      </c>
      <c r="L111" s="153">
        <f t="shared" si="45"/>
      </c>
      <c r="M111" s="153">
        <f t="shared" si="46"/>
      </c>
      <c r="N111" s="153">
        <f t="shared" si="47"/>
      </c>
      <c r="O111" s="86"/>
      <c r="P111" s="86"/>
      <c r="Q111" s="158"/>
    </row>
    <row r="112" spans="1:17" ht="15.75">
      <c r="A112" s="148">
        <f aca="true" t="shared" si="48" ref="A112:A127">IF(G111=0,"",1+A111)</f>
      </c>
      <c r="B112" s="149">
        <f aca="true" t="shared" si="49" ref="B112:B127">IF(G111=0,"",ROUND(G111,2))</f>
      </c>
      <c r="C112" s="150">
        <f t="shared" si="32"/>
      </c>
      <c r="D112" s="149">
        <f t="shared" si="33"/>
      </c>
      <c r="E112" s="149">
        <f aca="true" t="shared" si="50" ref="E112:E127">IF(G111=0,"",C112-D112+F112)</f>
      </c>
      <c r="F112" s="151">
        <v>0</v>
      </c>
      <c r="G112" s="149">
        <f aca="true" t="shared" si="51" ref="G112:G127">IF(G111=0,"",ROUND(B112-E112,2))</f>
      </c>
      <c r="H112" s="152"/>
      <c r="I112" s="146"/>
      <c r="J112" s="86"/>
      <c r="K112" s="90">
        <f t="shared" si="31"/>
      </c>
      <c r="L112" s="153">
        <f aca="true" t="shared" si="52" ref="L112:L127">IF(G111=0,"",C112+F112+L111)</f>
      </c>
      <c r="M112" s="153">
        <f aca="true" t="shared" si="53" ref="M112:M127">IF(G111=0,"",M111+D112)</f>
      </c>
      <c r="N112" s="153">
        <f aca="true" t="shared" si="54" ref="N112:N127">IF(G111=0,"",L112-M112)</f>
      </c>
      <c r="O112" s="86"/>
      <c r="P112" s="86"/>
      <c r="Q112" s="158"/>
    </row>
    <row r="113" spans="1:17" ht="15.75">
      <c r="A113" s="148">
        <f t="shared" si="48"/>
      </c>
      <c r="B113" s="149">
        <f t="shared" si="49"/>
      </c>
      <c r="C113" s="150">
        <f t="shared" si="32"/>
      </c>
      <c r="D113" s="149">
        <f t="shared" si="33"/>
      </c>
      <c r="E113" s="149">
        <f t="shared" si="50"/>
      </c>
      <c r="F113" s="151">
        <v>0</v>
      </c>
      <c r="G113" s="149">
        <f t="shared" si="51"/>
      </c>
      <c r="H113" s="152"/>
      <c r="I113" s="146"/>
      <c r="J113" s="86"/>
      <c r="K113" s="90">
        <f t="shared" si="31"/>
      </c>
      <c r="L113" s="153">
        <f t="shared" si="52"/>
      </c>
      <c r="M113" s="153">
        <f t="shared" si="53"/>
      </c>
      <c r="N113" s="153">
        <f t="shared" si="54"/>
      </c>
      <c r="O113" s="86"/>
      <c r="P113" s="86"/>
      <c r="Q113" s="158"/>
    </row>
    <row r="114" spans="1:17" ht="15.75">
      <c r="A114" s="148">
        <f t="shared" si="48"/>
      </c>
      <c r="B114" s="149">
        <f t="shared" si="49"/>
      </c>
      <c r="C114" s="150">
        <f t="shared" si="32"/>
      </c>
      <c r="D114" s="149">
        <f t="shared" si="33"/>
      </c>
      <c r="E114" s="149">
        <f t="shared" si="50"/>
      </c>
      <c r="F114" s="151">
        <v>0</v>
      </c>
      <c r="G114" s="149">
        <f t="shared" si="51"/>
      </c>
      <c r="H114" s="152"/>
      <c r="I114" s="146"/>
      <c r="J114" s="86"/>
      <c r="K114" s="90">
        <f t="shared" si="31"/>
      </c>
      <c r="L114" s="153">
        <f t="shared" si="52"/>
      </c>
      <c r="M114" s="153">
        <f t="shared" si="53"/>
      </c>
      <c r="N114" s="153">
        <f t="shared" si="54"/>
      </c>
      <c r="O114" s="86"/>
      <c r="P114" s="86"/>
      <c r="Q114" s="158"/>
    </row>
    <row r="115" spans="1:17" ht="15.75">
      <c r="A115" s="148">
        <f t="shared" si="48"/>
      </c>
      <c r="B115" s="149">
        <f t="shared" si="49"/>
      </c>
      <c r="C115" s="150">
        <f t="shared" si="32"/>
      </c>
      <c r="D115" s="149">
        <f t="shared" si="33"/>
      </c>
      <c r="E115" s="149">
        <f t="shared" si="50"/>
      </c>
      <c r="F115" s="151">
        <v>0</v>
      </c>
      <c r="G115" s="149">
        <f t="shared" si="51"/>
      </c>
      <c r="H115" s="152"/>
      <c r="I115" s="146"/>
      <c r="J115" s="86"/>
      <c r="K115" s="90">
        <f t="shared" si="31"/>
      </c>
      <c r="L115" s="153">
        <f t="shared" si="52"/>
      </c>
      <c r="M115" s="153">
        <f t="shared" si="53"/>
      </c>
      <c r="N115" s="153">
        <f t="shared" si="54"/>
      </c>
      <c r="O115" s="86"/>
      <c r="P115" s="86"/>
      <c r="Q115" s="158"/>
    </row>
    <row r="116" spans="1:17" ht="15.75">
      <c r="A116" s="148">
        <f t="shared" si="48"/>
      </c>
      <c r="B116" s="149">
        <f t="shared" si="49"/>
      </c>
      <c r="C116" s="150">
        <f t="shared" si="32"/>
      </c>
      <c r="D116" s="149">
        <f t="shared" si="33"/>
      </c>
      <c r="E116" s="149">
        <f t="shared" si="50"/>
      </c>
      <c r="F116" s="151">
        <v>0</v>
      </c>
      <c r="G116" s="149">
        <f t="shared" si="51"/>
      </c>
      <c r="H116" s="152"/>
      <c r="I116" s="146"/>
      <c r="J116" s="86"/>
      <c r="K116" s="90">
        <f t="shared" si="31"/>
      </c>
      <c r="L116" s="153">
        <f t="shared" si="52"/>
      </c>
      <c r="M116" s="153">
        <f t="shared" si="53"/>
      </c>
      <c r="N116" s="153">
        <f t="shared" si="54"/>
      </c>
      <c r="O116" s="86"/>
      <c r="P116" s="86"/>
      <c r="Q116" s="158"/>
    </row>
    <row r="117" spans="1:17" ht="15.75">
      <c r="A117" s="148">
        <f t="shared" si="48"/>
      </c>
      <c r="B117" s="149">
        <f t="shared" si="49"/>
      </c>
      <c r="C117" s="150">
        <f t="shared" si="32"/>
      </c>
      <c r="D117" s="149">
        <f t="shared" si="33"/>
      </c>
      <c r="E117" s="149">
        <f t="shared" si="50"/>
      </c>
      <c r="F117" s="151">
        <v>0</v>
      </c>
      <c r="G117" s="149">
        <f t="shared" si="51"/>
      </c>
      <c r="H117" s="152"/>
      <c r="I117" s="146"/>
      <c r="J117" s="86"/>
      <c r="K117" s="90">
        <f t="shared" si="31"/>
      </c>
      <c r="L117" s="153">
        <f t="shared" si="52"/>
      </c>
      <c r="M117" s="153">
        <f t="shared" si="53"/>
      </c>
      <c r="N117" s="153">
        <f t="shared" si="54"/>
      </c>
      <c r="O117" s="86"/>
      <c r="P117" s="86"/>
      <c r="Q117" s="158"/>
    </row>
    <row r="118" spans="1:17" ht="15.75">
      <c r="A118" s="148">
        <f t="shared" si="48"/>
      </c>
      <c r="B118" s="149">
        <f t="shared" si="49"/>
      </c>
      <c r="C118" s="150">
        <f t="shared" si="32"/>
      </c>
      <c r="D118" s="149">
        <f t="shared" si="33"/>
      </c>
      <c r="E118" s="149">
        <f t="shared" si="50"/>
      </c>
      <c r="F118" s="151">
        <v>0</v>
      </c>
      <c r="G118" s="149">
        <f t="shared" si="51"/>
      </c>
      <c r="H118" s="152"/>
      <c r="I118" s="146"/>
      <c r="J118" s="86"/>
      <c r="K118" s="90">
        <f t="shared" si="31"/>
      </c>
      <c r="L118" s="153">
        <f t="shared" si="52"/>
      </c>
      <c r="M118" s="153">
        <f t="shared" si="53"/>
      </c>
      <c r="N118" s="153">
        <f t="shared" si="54"/>
      </c>
      <c r="O118" s="86"/>
      <c r="P118" s="86"/>
      <c r="Q118" s="158"/>
    </row>
    <row r="119" spans="1:17" ht="15.75">
      <c r="A119" s="148">
        <f t="shared" si="48"/>
      </c>
      <c r="B119" s="149">
        <f t="shared" si="49"/>
      </c>
      <c r="C119" s="150">
        <f t="shared" si="32"/>
      </c>
      <c r="D119" s="149">
        <f t="shared" si="33"/>
      </c>
      <c r="E119" s="149">
        <f t="shared" si="50"/>
      </c>
      <c r="F119" s="151">
        <v>0</v>
      </c>
      <c r="G119" s="149">
        <f t="shared" si="51"/>
      </c>
      <c r="H119" s="152"/>
      <c r="I119" s="146"/>
      <c r="J119" s="86"/>
      <c r="K119" s="90">
        <f t="shared" si="31"/>
      </c>
      <c r="L119" s="153">
        <f t="shared" si="52"/>
      </c>
      <c r="M119" s="153">
        <f t="shared" si="53"/>
      </c>
      <c r="N119" s="153">
        <f t="shared" si="54"/>
      </c>
      <c r="O119" s="86"/>
      <c r="P119" s="86"/>
      <c r="Q119" s="158"/>
    </row>
    <row r="120" spans="1:17" ht="15.75">
      <c r="A120" s="148">
        <f t="shared" si="48"/>
      </c>
      <c r="B120" s="149">
        <f t="shared" si="49"/>
      </c>
      <c r="C120" s="150">
        <f t="shared" si="32"/>
      </c>
      <c r="D120" s="149">
        <f t="shared" si="33"/>
      </c>
      <c r="E120" s="149">
        <f t="shared" si="50"/>
      </c>
      <c r="F120" s="151">
        <v>0</v>
      </c>
      <c r="G120" s="149">
        <f t="shared" si="51"/>
      </c>
      <c r="H120" s="152"/>
      <c r="I120" s="146"/>
      <c r="J120" s="86"/>
      <c r="K120" s="90">
        <f t="shared" si="31"/>
      </c>
      <c r="L120" s="153">
        <f t="shared" si="52"/>
      </c>
      <c r="M120" s="153">
        <f t="shared" si="53"/>
      </c>
      <c r="N120" s="153">
        <f t="shared" si="54"/>
      </c>
      <c r="O120" s="86"/>
      <c r="P120" s="86"/>
      <c r="Q120" s="158"/>
    </row>
    <row r="121" spans="1:17" ht="15.75">
      <c r="A121" s="148">
        <f t="shared" si="48"/>
      </c>
      <c r="B121" s="149">
        <f t="shared" si="49"/>
      </c>
      <c r="C121" s="150">
        <f t="shared" si="32"/>
      </c>
      <c r="D121" s="149">
        <f t="shared" si="33"/>
      </c>
      <c r="E121" s="149">
        <f t="shared" si="50"/>
      </c>
      <c r="F121" s="151">
        <v>0</v>
      </c>
      <c r="G121" s="149">
        <f t="shared" si="51"/>
      </c>
      <c r="H121" s="152"/>
      <c r="I121" s="146"/>
      <c r="J121" s="86"/>
      <c r="K121" s="90">
        <f t="shared" si="31"/>
      </c>
      <c r="L121" s="153">
        <f t="shared" si="52"/>
      </c>
      <c r="M121" s="153">
        <f t="shared" si="53"/>
      </c>
      <c r="N121" s="153">
        <f t="shared" si="54"/>
      </c>
      <c r="O121" s="86"/>
      <c r="P121" s="86"/>
      <c r="Q121" s="158"/>
    </row>
    <row r="122" spans="1:17" ht="15.75">
      <c r="A122" s="148">
        <f t="shared" si="48"/>
      </c>
      <c r="B122" s="149">
        <f t="shared" si="49"/>
      </c>
      <c r="C122" s="150">
        <f t="shared" si="32"/>
      </c>
      <c r="D122" s="149">
        <f t="shared" si="33"/>
      </c>
      <c r="E122" s="149">
        <f t="shared" si="50"/>
      </c>
      <c r="F122" s="151">
        <v>0</v>
      </c>
      <c r="G122" s="149">
        <f t="shared" si="51"/>
      </c>
      <c r="H122" s="152"/>
      <c r="I122" s="146"/>
      <c r="J122" s="86"/>
      <c r="K122" s="90">
        <f t="shared" si="31"/>
      </c>
      <c r="L122" s="153">
        <f t="shared" si="52"/>
      </c>
      <c r="M122" s="153">
        <f t="shared" si="53"/>
      </c>
      <c r="N122" s="153">
        <f t="shared" si="54"/>
      </c>
      <c r="O122" s="86"/>
      <c r="P122" s="86"/>
      <c r="Q122" s="158"/>
    </row>
    <row r="123" spans="1:17" ht="15.75">
      <c r="A123" s="148">
        <f t="shared" si="48"/>
      </c>
      <c r="B123" s="149">
        <f t="shared" si="49"/>
      </c>
      <c r="C123" s="150">
        <f t="shared" si="32"/>
      </c>
      <c r="D123" s="149">
        <f t="shared" si="33"/>
      </c>
      <c r="E123" s="149">
        <f t="shared" si="50"/>
      </c>
      <c r="F123" s="151">
        <v>0</v>
      </c>
      <c r="G123" s="149">
        <f t="shared" si="51"/>
      </c>
      <c r="H123" s="152"/>
      <c r="I123" s="146"/>
      <c r="J123" s="86"/>
      <c r="K123" s="90">
        <f t="shared" si="31"/>
      </c>
      <c r="L123" s="153">
        <f t="shared" si="52"/>
      </c>
      <c r="M123" s="153">
        <f t="shared" si="53"/>
      </c>
      <c r="N123" s="153">
        <f t="shared" si="54"/>
      </c>
      <c r="O123" s="86"/>
      <c r="P123" s="86"/>
      <c r="Q123" s="158"/>
    </row>
    <row r="124" spans="1:17" ht="15.75">
      <c r="A124" s="148">
        <f t="shared" si="48"/>
      </c>
      <c r="B124" s="149">
        <f t="shared" si="49"/>
      </c>
      <c r="C124" s="150">
        <f t="shared" si="32"/>
      </c>
      <c r="D124" s="149">
        <f t="shared" si="33"/>
      </c>
      <c r="E124" s="149">
        <f t="shared" si="50"/>
      </c>
      <c r="F124" s="151">
        <v>0</v>
      </c>
      <c r="G124" s="149">
        <f t="shared" si="51"/>
      </c>
      <c r="H124" s="152"/>
      <c r="I124" s="146"/>
      <c r="J124" s="86"/>
      <c r="K124" s="90">
        <f t="shared" si="31"/>
      </c>
      <c r="L124" s="153">
        <f t="shared" si="52"/>
      </c>
      <c r="M124" s="153">
        <f t="shared" si="53"/>
      </c>
      <c r="N124" s="153">
        <f t="shared" si="54"/>
      </c>
      <c r="O124" s="86"/>
      <c r="P124" s="86"/>
      <c r="Q124" s="158"/>
    </row>
    <row r="125" spans="1:17" ht="15.75">
      <c r="A125" s="148">
        <f t="shared" si="48"/>
      </c>
      <c r="B125" s="149">
        <f t="shared" si="49"/>
      </c>
      <c r="C125" s="150">
        <f t="shared" si="32"/>
      </c>
      <c r="D125" s="149">
        <f t="shared" si="33"/>
      </c>
      <c r="E125" s="149">
        <f t="shared" si="50"/>
      </c>
      <c r="F125" s="151">
        <v>0</v>
      </c>
      <c r="G125" s="149">
        <f t="shared" si="51"/>
      </c>
      <c r="H125" s="152"/>
      <c r="I125" s="146"/>
      <c r="J125" s="86"/>
      <c r="K125" s="90">
        <f t="shared" si="31"/>
      </c>
      <c r="L125" s="153">
        <f t="shared" si="52"/>
      </c>
      <c r="M125" s="153">
        <f t="shared" si="53"/>
      </c>
      <c r="N125" s="153">
        <f t="shared" si="54"/>
      </c>
      <c r="O125" s="86"/>
      <c r="P125" s="86"/>
      <c r="Q125" s="158"/>
    </row>
    <row r="126" spans="1:17" ht="15.75">
      <c r="A126" s="148">
        <f t="shared" si="48"/>
      </c>
      <c r="B126" s="149">
        <f t="shared" si="49"/>
      </c>
      <c r="C126" s="150">
        <f t="shared" si="32"/>
      </c>
      <c r="D126" s="149">
        <f t="shared" si="33"/>
      </c>
      <c r="E126" s="149">
        <f t="shared" si="50"/>
      </c>
      <c r="F126" s="151">
        <v>0</v>
      </c>
      <c r="G126" s="149">
        <f t="shared" si="51"/>
      </c>
      <c r="H126" s="152"/>
      <c r="I126" s="146"/>
      <c r="J126" s="86"/>
      <c r="K126" s="90">
        <f t="shared" si="31"/>
      </c>
      <c r="L126" s="153">
        <f t="shared" si="52"/>
      </c>
      <c r="M126" s="153">
        <f t="shared" si="53"/>
      </c>
      <c r="N126" s="153">
        <f t="shared" si="54"/>
      </c>
      <c r="O126" s="86"/>
      <c r="P126" s="86"/>
      <c r="Q126" s="158"/>
    </row>
    <row r="127" spans="1:17" ht="15.75">
      <c r="A127" s="148">
        <f t="shared" si="48"/>
      </c>
      <c r="B127" s="149">
        <f t="shared" si="49"/>
      </c>
      <c r="C127" s="150">
        <f t="shared" si="32"/>
      </c>
      <c r="D127" s="149">
        <f t="shared" si="33"/>
      </c>
      <c r="E127" s="149">
        <f t="shared" si="50"/>
      </c>
      <c r="F127" s="151">
        <v>0</v>
      </c>
      <c r="G127" s="149">
        <f t="shared" si="51"/>
      </c>
      <c r="H127" s="152"/>
      <c r="I127" s="146"/>
      <c r="J127" s="86"/>
      <c r="K127" s="90">
        <f t="shared" si="31"/>
      </c>
      <c r="L127" s="153">
        <f t="shared" si="52"/>
      </c>
      <c r="M127" s="153">
        <f t="shared" si="53"/>
      </c>
      <c r="N127" s="153">
        <f t="shared" si="54"/>
      </c>
      <c r="O127" s="86"/>
      <c r="P127" s="86"/>
      <c r="Q127" s="158"/>
    </row>
    <row r="128" spans="1:17" ht="15.75">
      <c r="A128" s="148">
        <f aca="true" t="shared" si="55" ref="A128:A143">IF(G127=0,"",1+A127)</f>
      </c>
      <c r="B128" s="149">
        <f aca="true" t="shared" si="56" ref="B128:B143">IF(G127=0,"",ROUND(G127,2))</f>
      </c>
      <c r="C128" s="150">
        <f t="shared" si="32"/>
      </c>
      <c r="D128" s="149">
        <f t="shared" si="33"/>
      </c>
      <c r="E128" s="149">
        <f aca="true" t="shared" si="57" ref="E128:E143">IF(G127=0,"",C128-D128+F128)</f>
      </c>
      <c r="F128" s="151">
        <v>0</v>
      </c>
      <c r="G128" s="149">
        <f aca="true" t="shared" si="58" ref="G128:G143">IF(G127=0,"",ROUND(B128-E128,2))</f>
      </c>
      <c r="H128" s="152"/>
      <c r="I128" s="146"/>
      <c r="J128" s="86"/>
      <c r="K128" s="90">
        <f t="shared" si="31"/>
      </c>
      <c r="L128" s="153">
        <f aca="true" t="shared" si="59" ref="L128:L143">IF(G127=0,"",C128+F128+L127)</f>
      </c>
      <c r="M128" s="153">
        <f aca="true" t="shared" si="60" ref="M128:M143">IF(G127=0,"",M127+D128)</f>
      </c>
      <c r="N128" s="153">
        <f aca="true" t="shared" si="61" ref="N128:N143">IF(G127=0,"",L128-M128)</f>
      </c>
      <c r="O128" s="86"/>
      <c r="P128" s="86"/>
      <c r="Q128" s="158"/>
    </row>
    <row r="129" spans="1:17" ht="15.75">
      <c r="A129" s="148">
        <f t="shared" si="55"/>
      </c>
      <c r="B129" s="149">
        <f t="shared" si="56"/>
      </c>
      <c r="C129" s="150">
        <f t="shared" si="32"/>
      </c>
      <c r="D129" s="149">
        <f t="shared" si="33"/>
      </c>
      <c r="E129" s="149">
        <f t="shared" si="57"/>
      </c>
      <c r="F129" s="151">
        <v>0</v>
      </c>
      <c r="G129" s="149">
        <f t="shared" si="58"/>
      </c>
      <c r="H129" s="152"/>
      <c r="I129" s="146"/>
      <c r="J129" s="86"/>
      <c r="K129" s="90">
        <f t="shared" si="31"/>
      </c>
      <c r="L129" s="153">
        <f t="shared" si="59"/>
      </c>
      <c r="M129" s="153">
        <f t="shared" si="60"/>
      </c>
      <c r="N129" s="153">
        <f t="shared" si="61"/>
      </c>
      <c r="O129" s="86"/>
      <c r="P129" s="86"/>
      <c r="Q129" s="158"/>
    </row>
    <row r="130" spans="1:17" ht="15.75">
      <c r="A130" s="148">
        <f t="shared" si="55"/>
      </c>
      <c r="B130" s="149">
        <f t="shared" si="56"/>
      </c>
      <c r="C130" s="150">
        <f t="shared" si="32"/>
      </c>
      <c r="D130" s="149">
        <f t="shared" si="33"/>
      </c>
      <c r="E130" s="149">
        <f t="shared" si="57"/>
      </c>
      <c r="F130" s="151">
        <v>0</v>
      </c>
      <c r="G130" s="149">
        <f t="shared" si="58"/>
      </c>
      <c r="H130" s="152"/>
      <c r="I130" s="146"/>
      <c r="J130" s="86"/>
      <c r="K130" s="90">
        <f t="shared" si="31"/>
      </c>
      <c r="L130" s="153">
        <f t="shared" si="59"/>
      </c>
      <c r="M130" s="153">
        <f t="shared" si="60"/>
      </c>
      <c r="N130" s="153">
        <f t="shared" si="61"/>
      </c>
      <c r="O130" s="86"/>
      <c r="P130" s="86"/>
      <c r="Q130" s="158"/>
    </row>
    <row r="131" spans="1:17" ht="15.75">
      <c r="A131" s="148">
        <f t="shared" si="55"/>
      </c>
      <c r="B131" s="149">
        <f t="shared" si="56"/>
      </c>
      <c r="C131" s="150">
        <f t="shared" si="32"/>
      </c>
      <c r="D131" s="149">
        <f t="shared" si="33"/>
      </c>
      <c r="E131" s="149">
        <f t="shared" si="57"/>
      </c>
      <c r="F131" s="151">
        <v>0</v>
      </c>
      <c r="G131" s="149">
        <f t="shared" si="58"/>
      </c>
      <c r="H131" s="152"/>
      <c r="I131" s="146"/>
      <c r="J131" s="86"/>
      <c r="K131" s="90">
        <f t="shared" si="31"/>
      </c>
      <c r="L131" s="153">
        <f t="shared" si="59"/>
      </c>
      <c r="M131" s="153">
        <f t="shared" si="60"/>
      </c>
      <c r="N131" s="153">
        <f t="shared" si="61"/>
      </c>
      <c r="O131" s="86"/>
      <c r="P131" s="86"/>
      <c r="Q131" s="158"/>
    </row>
    <row r="132" spans="1:17" ht="15.75">
      <c r="A132" s="148">
        <f t="shared" si="55"/>
      </c>
      <c r="B132" s="149">
        <f t="shared" si="56"/>
      </c>
      <c r="C132" s="150">
        <f t="shared" si="32"/>
      </c>
      <c r="D132" s="149">
        <f t="shared" si="33"/>
      </c>
      <c r="E132" s="149">
        <f t="shared" si="57"/>
      </c>
      <c r="F132" s="151">
        <v>0</v>
      </c>
      <c r="G132" s="149">
        <f t="shared" si="58"/>
      </c>
      <c r="H132" s="152"/>
      <c r="I132" s="146"/>
      <c r="J132" s="86"/>
      <c r="K132" s="90">
        <f t="shared" si="31"/>
      </c>
      <c r="L132" s="153">
        <f t="shared" si="59"/>
      </c>
      <c r="M132" s="153">
        <f t="shared" si="60"/>
      </c>
      <c r="N132" s="153">
        <f t="shared" si="61"/>
      </c>
      <c r="O132" s="86"/>
      <c r="P132" s="86"/>
      <c r="Q132" s="158"/>
    </row>
    <row r="133" spans="1:17" ht="15.75">
      <c r="A133" s="148">
        <f t="shared" si="55"/>
      </c>
      <c r="B133" s="149">
        <f t="shared" si="56"/>
      </c>
      <c r="C133" s="150">
        <f t="shared" si="32"/>
      </c>
      <c r="D133" s="149">
        <f t="shared" si="33"/>
      </c>
      <c r="E133" s="149">
        <f t="shared" si="57"/>
      </c>
      <c r="F133" s="151">
        <v>0</v>
      </c>
      <c r="G133" s="149">
        <f t="shared" si="58"/>
      </c>
      <c r="H133" s="152"/>
      <c r="I133" s="146"/>
      <c r="J133" s="86"/>
      <c r="K133" s="90">
        <f t="shared" si="31"/>
      </c>
      <c r="L133" s="153">
        <f t="shared" si="59"/>
      </c>
      <c r="M133" s="153">
        <f t="shared" si="60"/>
      </c>
      <c r="N133" s="153">
        <f t="shared" si="61"/>
      </c>
      <c r="O133" s="86"/>
      <c r="P133" s="86"/>
      <c r="Q133" s="158"/>
    </row>
    <row r="134" spans="1:17" ht="15.75">
      <c r="A134" s="148">
        <f t="shared" si="55"/>
      </c>
      <c r="B134" s="149">
        <f t="shared" si="56"/>
      </c>
      <c r="C134" s="150">
        <f t="shared" si="32"/>
      </c>
      <c r="D134" s="149">
        <f t="shared" si="33"/>
      </c>
      <c r="E134" s="149">
        <f t="shared" si="57"/>
      </c>
      <c r="F134" s="151">
        <v>0</v>
      </c>
      <c r="G134" s="149">
        <f t="shared" si="58"/>
      </c>
      <c r="H134" s="152"/>
      <c r="I134" s="146"/>
      <c r="J134" s="86"/>
      <c r="K134" s="90">
        <f t="shared" si="31"/>
      </c>
      <c r="L134" s="153">
        <f t="shared" si="59"/>
      </c>
      <c r="M134" s="153">
        <f t="shared" si="60"/>
      </c>
      <c r="N134" s="153">
        <f t="shared" si="61"/>
      </c>
      <c r="O134" s="86"/>
      <c r="P134" s="86"/>
      <c r="Q134" s="158"/>
    </row>
    <row r="135" spans="1:17" ht="15.75">
      <c r="A135" s="148">
        <f t="shared" si="55"/>
      </c>
      <c r="B135" s="149">
        <f t="shared" si="56"/>
      </c>
      <c r="C135" s="150">
        <f t="shared" si="32"/>
      </c>
      <c r="D135" s="149">
        <f t="shared" si="33"/>
      </c>
      <c r="E135" s="149">
        <f t="shared" si="57"/>
      </c>
      <c r="F135" s="151">
        <v>0</v>
      </c>
      <c r="G135" s="149">
        <f t="shared" si="58"/>
      </c>
      <c r="H135" s="152"/>
      <c r="I135" s="146"/>
      <c r="J135" s="86"/>
      <c r="K135" s="90">
        <f t="shared" si="31"/>
      </c>
      <c r="L135" s="153">
        <f t="shared" si="59"/>
      </c>
      <c r="M135" s="153">
        <f t="shared" si="60"/>
      </c>
      <c r="N135" s="153">
        <f t="shared" si="61"/>
      </c>
      <c r="O135" s="86"/>
      <c r="P135" s="86"/>
      <c r="Q135" s="158"/>
    </row>
    <row r="136" spans="1:17" ht="15.75">
      <c r="A136" s="148">
        <f t="shared" si="55"/>
      </c>
      <c r="B136" s="149">
        <f t="shared" si="56"/>
      </c>
      <c r="C136" s="150">
        <f t="shared" si="32"/>
      </c>
      <c r="D136" s="149">
        <f t="shared" si="33"/>
      </c>
      <c r="E136" s="149">
        <f t="shared" si="57"/>
      </c>
      <c r="F136" s="151">
        <v>0</v>
      </c>
      <c r="G136" s="149">
        <f t="shared" si="58"/>
      </c>
      <c r="H136" s="152"/>
      <c r="I136" s="146"/>
      <c r="J136" s="86"/>
      <c r="K136" s="90">
        <f t="shared" si="31"/>
      </c>
      <c r="L136" s="153">
        <f t="shared" si="59"/>
      </c>
      <c r="M136" s="153">
        <f t="shared" si="60"/>
      </c>
      <c r="N136" s="153">
        <f t="shared" si="61"/>
      </c>
      <c r="O136" s="86"/>
      <c r="P136" s="86"/>
      <c r="Q136" s="158"/>
    </row>
    <row r="137" spans="1:17" ht="15.75">
      <c r="A137" s="148">
        <f t="shared" si="55"/>
      </c>
      <c r="B137" s="149">
        <f t="shared" si="56"/>
      </c>
      <c r="C137" s="150">
        <f t="shared" si="32"/>
      </c>
      <c r="D137" s="149">
        <f t="shared" si="33"/>
      </c>
      <c r="E137" s="149">
        <f t="shared" si="57"/>
      </c>
      <c r="F137" s="151">
        <v>0</v>
      </c>
      <c r="G137" s="149">
        <f t="shared" si="58"/>
      </c>
      <c r="H137" s="152"/>
      <c r="I137" s="146"/>
      <c r="J137" s="86"/>
      <c r="K137" s="90">
        <f t="shared" si="31"/>
      </c>
      <c r="L137" s="153">
        <f t="shared" si="59"/>
      </c>
      <c r="M137" s="153">
        <f t="shared" si="60"/>
      </c>
      <c r="N137" s="153">
        <f t="shared" si="61"/>
      </c>
      <c r="O137" s="86"/>
      <c r="P137" s="86"/>
      <c r="Q137" s="158"/>
    </row>
    <row r="138" spans="1:17" ht="15.75">
      <c r="A138" s="148">
        <f t="shared" si="55"/>
      </c>
      <c r="B138" s="149">
        <f t="shared" si="56"/>
      </c>
      <c r="C138" s="150">
        <f t="shared" si="32"/>
      </c>
      <c r="D138" s="149">
        <f t="shared" si="33"/>
      </c>
      <c r="E138" s="149">
        <f t="shared" si="57"/>
      </c>
      <c r="F138" s="151">
        <v>0</v>
      </c>
      <c r="G138" s="149">
        <f t="shared" si="58"/>
      </c>
      <c r="H138" s="152"/>
      <c r="I138" s="146"/>
      <c r="J138" s="86"/>
      <c r="K138" s="90">
        <f t="shared" si="31"/>
      </c>
      <c r="L138" s="153">
        <f t="shared" si="59"/>
      </c>
      <c r="M138" s="153">
        <f t="shared" si="60"/>
      </c>
      <c r="N138" s="153">
        <f t="shared" si="61"/>
      </c>
      <c r="O138" s="86"/>
      <c r="P138" s="86"/>
      <c r="Q138" s="158"/>
    </row>
    <row r="139" spans="1:17" ht="15.75">
      <c r="A139" s="148">
        <f t="shared" si="55"/>
      </c>
      <c r="B139" s="149">
        <f t="shared" si="56"/>
      </c>
      <c r="C139" s="150">
        <f t="shared" si="32"/>
      </c>
      <c r="D139" s="149">
        <f t="shared" si="33"/>
      </c>
      <c r="E139" s="149">
        <f t="shared" si="57"/>
      </c>
      <c r="F139" s="151">
        <v>0</v>
      </c>
      <c r="G139" s="149">
        <f t="shared" si="58"/>
      </c>
      <c r="H139" s="152"/>
      <c r="I139" s="146"/>
      <c r="J139" s="86"/>
      <c r="K139" s="90">
        <f t="shared" si="31"/>
      </c>
      <c r="L139" s="153">
        <f t="shared" si="59"/>
      </c>
      <c r="M139" s="153">
        <f t="shared" si="60"/>
      </c>
      <c r="N139" s="153">
        <f t="shared" si="61"/>
      </c>
      <c r="O139" s="86"/>
      <c r="P139" s="86"/>
      <c r="Q139" s="158"/>
    </row>
    <row r="140" spans="1:17" ht="15.75">
      <c r="A140" s="148">
        <f t="shared" si="55"/>
      </c>
      <c r="B140" s="149">
        <f t="shared" si="56"/>
      </c>
      <c r="C140" s="150">
        <f t="shared" si="32"/>
      </c>
      <c r="D140" s="149">
        <f t="shared" si="33"/>
      </c>
      <c r="E140" s="149">
        <f t="shared" si="57"/>
      </c>
      <c r="F140" s="151">
        <v>0</v>
      </c>
      <c r="G140" s="149">
        <f t="shared" si="58"/>
      </c>
      <c r="H140" s="152"/>
      <c r="I140" s="146"/>
      <c r="J140" s="86"/>
      <c r="K140" s="90">
        <f t="shared" si="31"/>
      </c>
      <c r="L140" s="153">
        <f t="shared" si="59"/>
      </c>
      <c r="M140" s="153">
        <f t="shared" si="60"/>
      </c>
      <c r="N140" s="153">
        <f t="shared" si="61"/>
      </c>
      <c r="O140" s="86"/>
      <c r="P140" s="86"/>
      <c r="Q140" s="158"/>
    </row>
    <row r="141" spans="1:17" ht="15.75">
      <c r="A141" s="148">
        <f t="shared" si="55"/>
      </c>
      <c r="B141" s="149">
        <f t="shared" si="56"/>
      </c>
      <c r="C141" s="150">
        <f t="shared" si="32"/>
      </c>
      <c r="D141" s="149">
        <f t="shared" si="33"/>
      </c>
      <c r="E141" s="149">
        <f t="shared" si="57"/>
      </c>
      <c r="F141" s="151">
        <v>0</v>
      </c>
      <c r="G141" s="149">
        <f t="shared" si="58"/>
      </c>
      <c r="H141" s="152"/>
      <c r="I141" s="146"/>
      <c r="J141" s="86"/>
      <c r="K141" s="90">
        <f t="shared" si="31"/>
      </c>
      <c r="L141" s="153">
        <f t="shared" si="59"/>
      </c>
      <c r="M141" s="153">
        <f t="shared" si="60"/>
      </c>
      <c r="N141" s="153">
        <f t="shared" si="61"/>
      </c>
      <c r="O141" s="86"/>
      <c r="P141" s="86"/>
      <c r="Q141" s="158"/>
    </row>
    <row r="142" spans="1:17" ht="15.75">
      <c r="A142" s="148">
        <f t="shared" si="55"/>
      </c>
      <c r="B142" s="149">
        <f t="shared" si="56"/>
      </c>
      <c r="C142" s="150">
        <f t="shared" si="32"/>
      </c>
      <c r="D142" s="149">
        <f t="shared" si="33"/>
      </c>
      <c r="E142" s="149">
        <f t="shared" si="57"/>
      </c>
      <c r="F142" s="151">
        <v>0</v>
      </c>
      <c r="G142" s="149">
        <f t="shared" si="58"/>
      </c>
      <c r="H142" s="152"/>
      <c r="I142" s="146"/>
      <c r="J142" s="86"/>
      <c r="K142" s="90">
        <f aca="true" t="shared" si="62" ref="K142:K205">A142</f>
      </c>
      <c r="L142" s="153">
        <f t="shared" si="59"/>
      </c>
      <c r="M142" s="153">
        <f t="shared" si="60"/>
      </c>
      <c r="N142" s="153">
        <f t="shared" si="61"/>
      </c>
      <c r="O142" s="86"/>
      <c r="P142" s="86"/>
      <c r="Q142" s="158"/>
    </row>
    <row r="143" spans="1:17" ht="15.75">
      <c r="A143" s="148">
        <f t="shared" si="55"/>
      </c>
      <c r="B143" s="149">
        <f t="shared" si="56"/>
      </c>
      <c r="C143" s="150">
        <f aca="true" t="shared" si="63" ref="C143:C206">IF(G142=0,"",ROUND(IF(B143+D143&lt;$F$3,B143+D143,$F$3),2))</f>
      </c>
      <c r="D143" s="149">
        <f aca="true" t="shared" si="64" ref="D143:D206">IF(G142=0,"",ROUND(((1+($D$4/($D$7*100)))^($D$7/$D$6)-1)*B143,2))</f>
      </c>
      <c r="E143" s="149">
        <f t="shared" si="57"/>
      </c>
      <c r="F143" s="151">
        <v>0</v>
      </c>
      <c r="G143" s="149">
        <f t="shared" si="58"/>
      </c>
      <c r="H143" s="152"/>
      <c r="I143" s="146"/>
      <c r="J143" s="86"/>
      <c r="K143" s="90">
        <f t="shared" si="62"/>
      </c>
      <c r="L143" s="153">
        <f t="shared" si="59"/>
      </c>
      <c r="M143" s="153">
        <f t="shared" si="60"/>
      </c>
      <c r="N143" s="153">
        <f t="shared" si="61"/>
      </c>
      <c r="O143" s="86"/>
      <c r="P143" s="86"/>
      <c r="Q143" s="158"/>
    </row>
    <row r="144" spans="1:17" ht="15.75">
      <c r="A144" s="148">
        <f aca="true" t="shared" si="65" ref="A144:A159">IF(G143=0,"",1+A143)</f>
      </c>
      <c r="B144" s="149">
        <f aca="true" t="shared" si="66" ref="B144:B159">IF(G143=0,"",ROUND(G143,2))</f>
      </c>
      <c r="C144" s="150">
        <f t="shared" si="63"/>
      </c>
      <c r="D144" s="149">
        <f t="shared" si="64"/>
      </c>
      <c r="E144" s="149">
        <f aca="true" t="shared" si="67" ref="E144:E159">IF(G143=0,"",C144-D144+F144)</f>
      </c>
      <c r="F144" s="151">
        <v>0</v>
      </c>
      <c r="G144" s="149">
        <f aca="true" t="shared" si="68" ref="G144:G159">IF(G143=0,"",ROUND(B144-E144,2))</f>
      </c>
      <c r="H144" s="159"/>
      <c r="I144" s="146"/>
      <c r="J144" s="86"/>
      <c r="K144" s="90">
        <f t="shared" si="62"/>
      </c>
      <c r="L144" s="153">
        <f aca="true" t="shared" si="69" ref="L144:L159">IF(G143=0,"",C144+F144+L143)</f>
      </c>
      <c r="M144" s="153">
        <f aca="true" t="shared" si="70" ref="M144:M159">IF(G143=0,"",M143+D144)</f>
      </c>
      <c r="N144" s="153">
        <f aca="true" t="shared" si="71" ref="N144:N159">IF(G143=0,"",L144-M144)</f>
      </c>
      <c r="O144" s="86"/>
      <c r="P144" s="86"/>
      <c r="Q144" s="158"/>
    </row>
    <row r="145" spans="1:17" ht="15.75">
      <c r="A145" s="148">
        <f t="shared" si="65"/>
      </c>
      <c r="B145" s="149">
        <f t="shared" si="66"/>
      </c>
      <c r="C145" s="150">
        <f t="shared" si="63"/>
      </c>
      <c r="D145" s="149">
        <f t="shared" si="64"/>
      </c>
      <c r="E145" s="149">
        <f t="shared" si="67"/>
      </c>
      <c r="F145" s="151">
        <v>0</v>
      </c>
      <c r="G145" s="149">
        <f t="shared" si="68"/>
      </c>
      <c r="H145" s="160"/>
      <c r="I145" s="146"/>
      <c r="J145" s="86"/>
      <c r="K145" s="90">
        <f t="shared" si="62"/>
      </c>
      <c r="L145" s="153">
        <f t="shared" si="69"/>
      </c>
      <c r="M145" s="153">
        <f t="shared" si="70"/>
      </c>
      <c r="N145" s="153">
        <f t="shared" si="71"/>
      </c>
      <c r="O145" s="86"/>
      <c r="P145" s="86"/>
      <c r="Q145" s="158"/>
    </row>
    <row r="146" spans="1:17" ht="15.75">
      <c r="A146" s="148">
        <f t="shared" si="65"/>
      </c>
      <c r="B146" s="149">
        <f t="shared" si="66"/>
      </c>
      <c r="C146" s="150">
        <f t="shared" si="63"/>
      </c>
      <c r="D146" s="149">
        <f t="shared" si="64"/>
      </c>
      <c r="E146" s="149">
        <f t="shared" si="67"/>
      </c>
      <c r="F146" s="151">
        <v>0</v>
      </c>
      <c r="G146" s="149">
        <f t="shared" si="68"/>
      </c>
      <c r="H146" s="161"/>
      <c r="I146" s="146"/>
      <c r="J146" s="86"/>
      <c r="K146" s="90">
        <f t="shared" si="62"/>
      </c>
      <c r="L146" s="153">
        <f t="shared" si="69"/>
      </c>
      <c r="M146" s="153">
        <f t="shared" si="70"/>
      </c>
      <c r="N146" s="153">
        <f t="shared" si="71"/>
      </c>
      <c r="O146" s="86"/>
      <c r="P146" s="86"/>
      <c r="Q146" s="158"/>
    </row>
    <row r="147" spans="1:17" ht="15.75">
      <c r="A147" s="148">
        <f t="shared" si="65"/>
      </c>
      <c r="B147" s="149">
        <f t="shared" si="66"/>
      </c>
      <c r="C147" s="150">
        <f t="shared" si="63"/>
      </c>
      <c r="D147" s="149">
        <f t="shared" si="64"/>
      </c>
      <c r="E147" s="149">
        <f t="shared" si="67"/>
      </c>
      <c r="F147" s="151">
        <v>0</v>
      </c>
      <c r="G147" s="149">
        <f t="shared" si="68"/>
      </c>
      <c r="H147" s="161"/>
      <c r="I147" s="146"/>
      <c r="J147" s="86"/>
      <c r="K147" s="90">
        <f t="shared" si="62"/>
      </c>
      <c r="L147" s="153">
        <f t="shared" si="69"/>
      </c>
      <c r="M147" s="153">
        <f t="shared" si="70"/>
      </c>
      <c r="N147" s="153">
        <f t="shared" si="71"/>
      </c>
      <c r="O147" s="86"/>
      <c r="P147" s="86"/>
      <c r="Q147" s="158"/>
    </row>
    <row r="148" spans="1:17" ht="15.75">
      <c r="A148" s="148">
        <f t="shared" si="65"/>
      </c>
      <c r="B148" s="149">
        <f t="shared" si="66"/>
      </c>
      <c r="C148" s="150">
        <f t="shared" si="63"/>
      </c>
      <c r="D148" s="149">
        <f t="shared" si="64"/>
      </c>
      <c r="E148" s="149">
        <f t="shared" si="67"/>
      </c>
      <c r="F148" s="151">
        <v>0</v>
      </c>
      <c r="G148" s="149">
        <f t="shared" si="68"/>
      </c>
      <c r="H148" s="161"/>
      <c r="I148" s="146"/>
      <c r="J148" s="86"/>
      <c r="K148" s="90">
        <f t="shared" si="62"/>
      </c>
      <c r="L148" s="153">
        <f t="shared" si="69"/>
      </c>
      <c r="M148" s="153">
        <f t="shared" si="70"/>
      </c>
      <c r="N148" s="153">
        <f t="shared" si="71"/>
      </c>
      <c r="O148" s="86"/>
      <c r="P148" s="86"/>
      <c r="Q148" s="158"/>
    </row>
    <row r="149" spans="1:17" ht="15.75">
      <c r="A149" s="148">
        <f t="shared" si="65"/>
      </c>
      <c r="B149" s="149">
        <f t="shared" si="66"/>
      </c>
      <c r="C149" s="150">
        <f t="shared" si="63"/>
      </c>
      <c r="D149" s="149">
        <f t="shared" si="64"/>
      </c>
      <c r="E149" s="149">
        <f t="shared" si="67"/>
      </c>
      <c r="F149" s="151">
        <v>0</v>
      </c>
      <c r="G149" s="149">
        <f t="shared" si="68"/>
      </c>
      <c r="H149" s="161"/>
      <c r="I149" s="146"/>
      <c r="J149" s="86"/>
      <c r="K149" s="90">
        <f t="shared" si="62"/>
      </c>
      <c r="L149" s="153">
        <f t="shared" si="69"/>
      </c>
      <c r="M149" s="153">
        <f t="shared" si="70"/>
      </c>
      <c r="N149" s="153">
        <f t="shared" si="71"/>
      </c>
      <c r="O149" s="86"/>
      <c r="P149" s="86"/>
      <c r="Q149" s="158"/>
    </row>
    <row r="150" spans="1:17" ht="15.75">
      <c r="A150" s="148">
        <f t="shared" si="65"/>
      </c>
      <c r="B150" s="149">
        <f t="shared" si="66"/>
      </c>
      <c r="C150" s="150">
        <f t="shared" si="63"/>
      </c>
      <c r="D150" s="149">
        <f t="shared" si="64"/>
      </c>
      <c r="E150" s="149">
        <f t="shared" si="67"/>
      </c>
      <c r="F150" s="151">
        <v>0</v>
      </c>
      <c r="G150" s="149">
        <f t="shared" si="68"/>
      </c>
      <c r="H150" s="161"/>
      <c r="I150" s="146"/>
      <c r="J150" s="86"/>
      <c r="K150" s="90">
        <f t="shared" si="62"/>
      </c>
      <c r="L150" s="153">
        <f t="shared" si="69"/>
      </c>
      <c r="M150" s="153">
        <f t="shared" si="70"/>
      </c>
      <c r="N150" s="153">
        <f t="shared" si="71"/>
      </c>
      <c r="O150" s="86"/>
      <c r="P150" s="86"/>
      <c r="Q150" s="158"/>
    </row>
    <row r="151" spans="1:17" ht="15.75">
      <c r="A151" s="148">
        <f t="shared" si="65"/>
      </c>
      <c r="B151" s="149">
        <f t="shared" si="66"/>
      </c>
      <c r="C151" s="150">
        <f t="shared" si="63"/>
      </c>
      <c r="D151" s="149">
        <f t="shared" si="64"/>
      </c>
      <c r="E151" s="149">
        <f t="shared" si="67"/>
      </c>
      <c r="F151" s="151">
        <v>0</v>
      </c>
      <c r="G151" s="149">
        <f t="shared" si="68"/>
      </c>
      <c r="H151" s="161"/>
      <c r="I151" s="146"/>
      <c r="J151" s="86"/>
      <c r="K151" s="90">
        <f t="shared" si="62"/>
      </c>
      <c r="L151" s="153">
        <f t="shared" si="69"/>
      </c>
      <c r="M151" s="153">
        <f t="shared" si="70"/>
      </c>
      <c r="N151" s="153">
        <f t="shared" si="71"/>
      </c>
      <c r="O151" s="86"/>
      <c r="P151" s="86"/>
      <c r="Q151" s="158"/>
    </row>
    <row r="152" spans="1:17" ht="15.75">
      <c r="A152" s="148">
        <f t="shared" si="65"/>
      </c>
      <c r="B152" s="149">
        <f t="shared" si="66"/>
      </c>
      <c r="C152" s="150">
        <f t="shared" si="63"/>
      </c>
      <c r="D152" s="149">
        <f t="shared" si="64"/>
      </c>
      <c r="E152" s="149">
        <f t="shared" si="67"/>
      </c>
      <c r="F152" s="151">
        <v>0</v>
      </c>
      <c r="G152" s="149">
        <f t="shared" si="68"/>
      </c>
      <c r="H152" s="161"/>
      <c r="I152" s="146"/>
      <c r="J152" s="86"/>
      <c r="K152" s="90">
        <f t="shared" si="62"/>
      </c>
      <c r="L152" s="153">
        <f t="shared" si="69"/>
      </c>
      <c r="M152" s="153">
        <f t="shared" si="70"/>
      </c>
      <c r="N152" s="153">
        <f t="shared" si="71"/>
      </c>
      <c r="O152" s="86"/>
      <c r="P152" s="86"/>
      <c r="Q152" s="158"/>
    </row>
    <row r="153" spans="1:17" ht="15.75">
      <c r="A153" s="148">
        <f t="shared" si="65"/>
      </c>
      <c r="B153" s="149">
        <f t="shared" si="66"/>
      </c>
      <c r="C153" s="150">
        <f t="shared" si="63"/>
      </c>
      <c r="D153" s="149">
        <f t="shared" si="64"/>
      </c>
      <c r="E153" s="149">
        <f t="shared" si="67"/>
      </c>
      <c r="F153" s="151">
        <v>0</v>
      </c>
      <c r="G153" s="149">
        <f t="shared" si="68"/>
      </c>
      <c r="H153" s="161"/>
      <c r="I153" s="146"/>
      <c r="J153" s="86"/>
      <c r="K153" s="90">
        <f t="shared" si="62"/>
      </c>
      <c r="L153" s="153">
        <f t="shared" si="69"/>
      </c>
      <c r="M153" s="153">
        <f t="shared" si="70"/>
      </c>
      <c r="N153" s="153">
        <f t="shared" si="71"/>
      </c>
      <c r="O153" s="86"/>
      <c r="P153" s="86"/>
      <c r="Q153" s="158"/>
    </row>
    <row r="154" spans="1:17" ht="15.75">
      <c r="A154" s="148">
        <f t="shared" si="65"/>
      </c>
      <c r="B154" s="149">
        <f t="shared" si="66"/>
      </c>
      <c r="C154" s="150">
        <f t="shared" si="63"/>
      </c>
      <c r="D154" s="149">
        <f t="shared" si="64"/>
      </c>
      <c r="E154" s="149">
        <f t="shared" si="67"/>
      </c>
      <c r="F154" s="151">
        <v>0</v>
      </c>
      <c r="G154" s="149">
        <f t="shared" si="68"/>
      </c>
      <c r="H154" s="161"/>
      <c r="I154" s="146"/>
      <c r="J154" s="86"/>
      <c r="K154" s="90">
        <f t="shared" si="62"/>
      </c>
      <c r="L154" s="153">
        <f t="shared" si="69"/>
      </c>
      <c r="M154" s="153">
        <f t="shared" si="70"/>
      </c>
      <c r="N154" s="153">
        <f t="shared" si="71"/>
      </c>
      <c r="O154" s="86"/>
      <c r="P154" s="86"/>
      <c r="Q154" s="158"/>
    </row>
    <row r="155" spans="1:17" ht="15.75">
      <c r="A155" s="148">
        <f t="shared" si="65"/>
      </c>
      <c r="B155" s="149">
        <f t="shared" si="66"/>
      </c>
      <c r="C155" s="150">
        <f t="shared" si="63"/>
      </c>
      <c r="D155" s="149">
        <f t="shared" si="64"/>
      </c>
      <c r="E155" s="149">
        <f t="shared" si="67"/>
      </c>
      <c r="F155" s="151">
        <v>0</v>
      </c>
      <c r="G155" s="149">
        <f t="shared" si="68"/>
      </c>
      <c r="H155" s="161"/>
      <c r="I155" s="146"/>
      <c r="J155" s="86"/>
      <c r="K155" s="90">
        <f t="shared" si="62"/>
      </c>
      <c r="L155" s="153">
        <f t="shared" si="69"/>
      </c>
      <c r="M155" s="153">
        <f t="shared" si="70"/>
      </c>
      <c r="N155" s="153">
        <f t="shared" si="71"/>
      </c>
      <c r="O155" s="86"/>
      <c r="P155" s="86"/>
      <c r="Q155" s="158"/>
    </row>
    <row r="156" spans="1:17" ht="15.75">
      <c r="A156" s="148">
        <f t="shared" si="65"/>
      </c>
      <c r="B156" s="149">
        <f t="shared" si="66"/>
      </c>
      <c r="C156" s="150">
        <f t="shared" si="63"/>
      </c>
      <c r="D156" s="149">
        <f t="shared" si="64"/>
      </c>
      <c r="E156" s="149">
        <f t="shared" si="67"/>
      </c>
      <c r="F156" s="151">
        <v>0</v>
      </c>
      <c r="G156" s="149">
        <f t="shared" si="68"/>
      </c>
      <c r="H156" s="161"/>
      <c r="I156" s="146"/>
      <c r="J156" s="86"/>
      <c r="K156" s="90">
        <f t="shared" si="62"/>
      </c>
      <c r="L156" s="153">
        <f t="shared" si="69"/>
      </c>
      <c r="M156" s="153">
        <f t="shared" si="70"/>
      </c>
      <c r="N156" s="153">
        <f t="shared" si="71"/>
      </c>
      <c r="O156" s="86"/>
      <c r="P156" s="86"/>
      <c r="Q156" s="158"/>
    </row>
    <row r="157" spans="1:17" ht="15.75">
      <c r="A157" s="148">
        <f t="shared" si="65"/>
      </c>
      <c r="B157" s="149">
        <f t="shared" si="66"/>
      </c>
      <c r="C157" s="150">
        <f t="shared" si="63"/>
      </c>
      <c r="D157" s="149">
        <f t="shared" si="64"/>
      </c>
      <c r="E157" s="149">
        <f t="shared" si="67"/>
      </c>
      <c r="F157" s="151">
        <v>0</v>
      </c>
      <c r="G157" s="149">
        <f t="shared" si="68"/>
      </c>
      <c r="H157" s="161"/>
      <c r="I157" s="146"/>
      <c r="J157" s="86"/>
      <c r="K157" s="90">
        <f t="shared" si="62"/>
      </c>
      <c r="L157" s="153">
        <f t="shared" si="69"/>
      </c>
      <c r="M157" s="153">
        <f t="shared" si="70"/>
      </c>
      <c r="N157" s="153">
        <f t="shared" si="71"/>
      </c>
      <c r="O157" s="86"/>
      <c r="P157" s="86"/>
      <c r="Q157" s="158"/>
    </row>
    <row r="158" spans="1:17" ht="15.75">
      <c r="A158" s="148">
        <f t="shared" si="65"/>
      </c>
      <c r="B158" s="149">
        <f t="shared" si="66"/>
      </c>
      <c r="C158" s="150">
        <f t="shared" si="63"/>
      </c>
      <c r="D158" s="149">
        <f t="shared" si="64"/>
      </c>
      <c r="E158" s="149">
        <f t="shared" si="67"/>
      </c>
      <c r="F158" s="151">
        <v>0</v>
      </c>
      <c r="G158" s="149">
        <f t="shared" si="68"/>
      </c>
      <c r="H158" s="161"/>
      <c r="I158" s="146"/>
      <c r="J158" s="86"/>
      <c r="K158" s="90">
        <f t="shared" si="62"/>
      </c>
      <c r="L158" s="153">
        <f t="shared" si="69"/>
      </c>
      <c r="M158" s="153">
        <f t="shared" si="70"/>
      </c>
      <c r="N158" s="153">
        <f t="shared" si="71"/>
      </c>
      <c r="O158" s="86"/>
      <c r="P158" s="86"/>
      <c r="Q158" s="158"/>
    </row>
    <row r="159" spans="1:17" ht="15.75">
      <c r="A159" s="148">
        <f t="shared" si="65"/>
      </c>
      <c r="B159" s="149">
        <f t="shared" si="66"/>
      </c>
      <c r="C159" s="150">
        <f t="shared" si="63"/>
      </c>
      <c r="D159" s="149">
        <f t="shared" si="64"/>
      </c>
      <c r="E159" s="149">
        <f t="shared" si="67"/>
      </c>
      <c r="F159" s="151">
        <v>0</v>
      </c>
      <c r="G159" s="149">
        <f t="shared" si="68"/>
      </c>
      <c r="H159" s="161"/>
      <c r="I159" s="146"/>
      <c r="J159" s="86"/>
      <c r="K159" s="90">
        <f t="shared" si="62"/>
      </c>
      <c r="L159" s="153">
        <f t="shared" si="69"/>
      </c>
      <c r="M159" s="153">
        <f t="shared" si="70"/>
      </c>
      <c r="N159" s="153">
        <f t="shared" si="71"/>
      </c>
      <c r="O159" s="86"/>
      <c r="P159" s="86"/>
      <c r="Q159" s="158"/>
    </row>
    <row r="160" spans="1:17" ht="15.75">
      <c r="A160" s="148">
        <f aca="true" t="shared" si="72" ref="A160:A175">IF(G159=0,"",1+A159)</f>
      </c>
      <c r="B160" s="149">
        <f aca="true" t="shared" si="73" ref="B160:B175">IF(G159=0,"",ROUND(G159,2))</f>
      </c>
      <c r="C160" s="150">
        <f t="shared" si="63"/>
      </c>
      <c r="D160" s="149">
        <f t="shared" si="64"/>
      </c>
      <c r="E160" s="149">
        <f aca="true" t="shared" si="74" ref="E160:E175">IF(G159=0,"",C160-D160+F160)</f>
      </c>
      <c r="F160" s="151">
        <v>0</v>
      </c>
      <c r="G160" s="149">
        <f aca="true" t="shared" si="75" ref="G160:G175">IF(G159=0,"",ROUND(B160-E160,2))</f>
      </c>
      <c r="H160" s="161"/>
      <c r="I160" s="146"/>
      <c r="J160" s="86"/>
      <c r="K160" s="90">
        <f t="shared" si="62"/>
      </c>
      <c r="L160" s="153">
        <f aca="true" t="shared" si="76" ref="L160:L175">IF(G159=0,"",C160+F160+L159)</f>
      </c>
      <c r="M160" s="153">
        <f aca="true" t="shared" si="77" ref="M160:M175">IF(G159=0,"",M159+D160)</f>
      </c>
      <c r="N160" s="153">
        <f aca="true" t="shared" si="78" ref="N160:N175">IF(G159=0,"",L160-M160)</f>
      </c>
      <c r="O160" s="86"/>
      <c r="P160" s="86"/>
      <c r="Q160" s="158"/>
    </row>
    <row r="161" spans="1:17" ht="15.75">
      <c r="A161" s="148">
        <f t="shared" si="72"/>
      </c>
      <c r="B161" s="149">
        <f t="shared" si="73"/>
      </c>
      <c r="C161" s="150">
        <f t="shared" si="63"/>
      </c>
      <c r="D161" s="149">
        <f t="shared" si="64"/>
      </c>
      <c r="E161" s="149">
        <f t="shared" si="74"/>
      </c>
      <c r="F161" s="151">
        <v>0</v>
      </c>
      <c r="G161" s="149">
        <f t="shared" si="75"/>
      </c>
      <c r="H161" s="161"/>
      <c r="I161" s="146"/>
      <c r="J161" s="86"/>
      <c r="K161" s="90">
        <f t="shared" si="62"/>
      </c>
      <c r="L161" s="153">
        <f t="shared" si="76"/>
      </c>
      <c r="M161" s="153">
        <f t="shared" si="77"/>
      </c>
      <c r="N161" s="153">
        <f t="shared" si="78"/>
      </c>
      <c r="O161" s="86"/>
      <c r="P161" s="86"/>
      <c r="Q161" s="158"/>
    </row>
    <row r="162" spans="1:17" ht="15.75">
      <c r="A162" s="148">
        <f t="shared" si="72"/>
      </c>
      <c r="B162" s="149">
        <f t="shared" si="73"/>
      </c>
      <c r="C162" s="150">
        <f t="shared" si="63"/>
      </c>
      <c r="D162" s="149">
        <f t="shared" si="64"/>
      </c>
      <c r="E162" s="149">
        <f t="shared" si="74"/>
      </c>
      <c r="F162" s="151">
        <v>0</v>
      </c>
      <c r="G162" s="149">
        <f t="shared" si="75"/>
      </c>
      <c r="H162" s="161"/>
      <c r="I162" s="146"/>
      <c r="J162" s="86"/>
      <c r="K162" s="90">
        <f t="shared" si="62"/>
      </c>
      <c r="L162" s="153">
        <f t="shared" si="76"/>
      </c>
      <c r="M162" s="153">
        <f t="shared" si="77"/>
      </c>
      <c r="N162" s="153">
        <f t="shared" si="78"/>
      </c>
      <c r="O162" s="86"/>
      <c r="P162" s="86"/>
      <c r="Q162" s="158"/>
    </row>
    <row r="163" spans="1:17" ht="15.75">
      <c r="A163" s="148">
        <f t="shared" si="72"/>
      </c>
      <c r="B163" s="149">
        <f t="shared" si="73"/>
      </c>
      <c r="C163" s="150">
        <f t="shared" si="63"/>
      </c>
      <c r="D163" s="149">
        <f t="shared" si="64"/>
      </c>
      <c r="E163" s="149">
        <f t="shared" si="74"/>
      </c>
      <c r="F163" s="151">
        <v>0</v>
      </c>
      <c r="G163" s="149">
        <f t="shared" si="75"/>
      </c>
      <c r="H163" s="161"/>
      <c r="I163" s="146"/>
      <c r="J163" s="86"/>
      <c r="K163" s="90">
        <f t="shared" si="62"/>
      </c>
      <c r="L163" s="153">
        <f t="shared" si="76"/>
      </c>
      <c r="M163" s="153">
        <f t="shared" si="77"/>
      </c>
      <c r="N163" s="153">
        <f t="shared" si="78"/>
      </c>
      <c r="O163" s="86"/>
      <c r="P163" s="86"/>
      <c r="Q163" s="158"/>
    </row>
    <row r="164" spans="1:17" ht="15.75">
      <c r="A164" s="148">
        <f t="shared" si="72"/>
      </c>
      <c r="B164" s="149">
        <f t="shared" si="73"/>
      </c>
      <c r="C164" s="150">
        <f t="shared" si="63"/>
      </c>
      <c r="D164" s="149">
        <f t="shared" si="64"/>
      </c>
      <c r="E164" s="149">
        <f t="shared" si="74"/>
      </c>
      <c r="F164" s="151">
        <v>0</v>
      </c>
      <c r="G164" s="149">
        <f t="shared" si="75"/>
      </c>
      <c r="H164" s="161"/>
      <c r="I164" s="146"/>
      <c r="J164" s="86"/>
      <c r="K164" s="90">
        <f t="shared" si="62"/>
      </c>
      <c r="L164" s="153">
        <f t="shared" si="76"/>
      </c>
      <c r="M164" s="153">
        <f t="shared" si="77"/>
      </c>
      <c r="N164" s="153">
        <f t="shared" si="78"/>
      </c>
      <c r="O164" s="86"/>
      <c r="P164" s="86"/>
      <c r="Q164" s="158"/>
    </row>
    <row r="165" spans="1:17" ht="15.75">
      <c r="A165" s="148">
        <f t="shared" si="72"/>
      </c>
      <c r="B165" s="149">
        <f t="shared" si="73"/>
      </c>
      <c r="C165" s="150">
        <f t="shared" si="63"/>
      </c>
      <c r="D165" s="149">
        <f t="shared" si="64"/>
      </c>
      <c r="E165" s="149">
        <f t="shared" si="74"/>
      </c>
      <c r="F165" s="151">
        <v>0</v>
      </c>
      <c r="G165" s="149">
        <f t="shared" si="75"/>
      </c>
      <c r="H165" s="161"/>
      <c r="I165" s="146"/>
      <c r="J165" s="86"/>
      <c r="K165" s="90">
        <f t="shared" si="62"/>
      </c>
      <c r="L165" s="153">
        <f t="shared" si="76"/>
      </c>
      <c r="M165" s="153">
        <f t="shared" si="77"/>
      </c>
      <c r="N165" s="153">
        <f t="shared" si="78"/>
      </c>
      <c r="O165" s="86"/>
      <c r="P165" s="86"/>
      <c r="Q165" s="158"/>
    </row>
    <row r="166" spans="1:17" ht="15.75">
      <c r="A166" s="148">
        <f t="shared" si="72"/>
      </c>
      <c r="B166" s="149">
        <f t="shared" si="73"/>
      </c>
      <c r="C166" s="150">
        <f t="shared" si="63"/>
      </c>
      <c r="D166" s="149">
        <f t="shared" si="64"/>
      </c>
      <c r="E166" s="149">
        <f t="shared" si="74"/>
      </c>
      <c r="F166" s="151">
        <v>0</v>
      </c>
      <c r="G166" s="149">
        <f t="shared" si="75"/>
      </c>
      <c r="H166" s="161"/>
      <c r="I166" s="146"/>
      <c r="J166" s="86"/>
      <c r="K166" s="90">
        <f t="shared" si="62"/>
      </c>
      <c r="L166" s="153">
        <f t="shared" si="76"/>
      </c>
      <c r="M166" s="153">
        <f t="shared" si="77"/>
      </c>
      <c r="N166" s="153">
        <f t="shared" si="78"/>
      </c>
      <c r="O166" s="86"/>
      <c r="P166" s="86"/>
      <c r="Q166" s="158"/>
    </row>
    <row r="167" spans="1:17" ht="15.75">
      <c r="A167" s="148">
        <f t="shared" si="72"/>
      </c>
      <c r="B167" s="149">
        <f t="shared" si="73"/>
      </c>
      <c r="C167" s="150">
        <f t="shared" si="63"/>
      </c>
      <c r="D167" s="149">
        <f t="shared" si="64"/>
      </c>
      <c r="E167" s="149">
        <f t="shared" si="74"/>
      </c>
      <c r="F167" s="151">
        <v>0</v>
      </c>
      <c r="G167" s="149">
        <f t="shared" si="75"/>
      </c>
      <c r="H167" s="161"/>
      <c r="I167" s="146"/>
      <c r="J167" s="86"/>
      <c r="K167" s="90">
        <f t="shared" si="62"/>
      </c>
      <c r="L167" s="153">
        <f t="shared" si="76"/>
      </c>
      <c r="M167" s="153">
        <f t="shared" si="77"/>
      </c>
      <c r="N167" s="153">
        <f t="shared" si="78"/>
      </c>
      <c r="O167" s="86"/>
      <c r="P167" s="86"/>
      <c r="Q167" s="158"/>
    </row>
    <row r="168" spans="1:17" ht="15.75">
      <c r="A168" s="148">
        <f t="shared" si="72"/>
      </c>
      <c r="B168" s="149">
        <f t="shared" si="73"/>
      </c>
      <c r="C168" s="150">
        <f t="shared" si="63"/>
      </c>
      <c r="D168" s="149">
        <f t="shared" si="64"/>
      </c>
      <c r="E168" s="149">
        <f t="shared" si="74"/>
      </c>
      <c r="F168" s="151">
        <v>0</v>
      </c>
      <c r="G168" s="149">
        <f t="shared" si="75"/>
      </c>
      <c r="H168" s="161"/>
      <c r="I168" s="146"/>
      <c r="J168" s="86"/>
      <c r="K168" s="90">
        <f t="shared" si="62"/>
      </c>
      <c r="L168" s="153">
        <f t="shared" si="76"/>
      </c>
      <c r="M168" s="153">
        <f t="shared" si="77"/>
      </c>
      <c r="N168" s="153">
        <f t="shared" si="78"/>
      </c>
      <c r="O168" s="86"/>
      <c r="P168" s="86"/>
      <c r="Q168" s="158"/>
    </row>
    <row r="169" spans="1:17" ht="15.75">
      <c r="A169" s="148">
        <f t="shared" si="72"/>
      </c>
      <c r="B169" s="149">
        <f t="shared" si="73"/>
      </c>
      <c r="C169" s="150">
        <f t="shared" si="63"/>
      </c>
      <c r="D169" s="149">
        <f t="shared" si="64"/>
      </c>
      <c r="E169" s="149">
        <f t="shared" si="74"/>
      </c>
      <c r="F169" s="151">
        <v>0</v>
      </c>
      <c r="G169" s="149">
        <f t="shared" si="75"/>
      </c>
      <c r="H169" s="161"/>
      <c r="I169" s="146"/>
      <c r="J169" s="86"/>
      <c r="K169" s="90">
        <f t="shared" si="62"/>
      </c>
      <c r="L169" s="153">
        <f t="shared" si="76"/>
      </c>
      <c r="M169" s="153">
        <f t="shared" si="77"/>
      </c>
      <c r="N169" s="153">
        <f t="shared" si="78"/>
      </c>
      <c r="O169" s="86"/>
      <c r="P169" s="86"/>
      <c r="Q169" s="158"/>
    </row>
    <row r="170" spans="1:17" ht="15.75">
      <c r="A170" s="148">
        <f t="shared" si="72"/>
      </c>
      <c r="B170" s="149">
        <f t="shared" si="73"/>
      </c>
      <c r="C170" s="150">
        <f t="shared" si="63"/>
      </c>
      <c r="D170" s="149">
        <f t="shared" si="64"/>
      </c>
      <c r="E170" s="149">
        <f t="shared" si="74"/>
      </c>
      <c r="F170" s="151">
        <v>0</v>
      </c>
      <c r="G170" s="149">
        <f t="shared" si="75"/>
      </c>
      <c r="H170" s="161"/>
      <c r="I170" s="146"/>
      <c r="J170" s="86"/>
      <c r="K170" s="90">
        <f t="shared" si="62"/>
      </c>
      <c r="L170" s="153">
        <f t="shared" si="76"/>
      </c>
      <c r="M170" s="153">
        <f t="shared" si="77"/>
      </c>
      <c r="N170" s="153">
        <f t="shared" si="78"/>
      </c>
      <c r="O170" s="86"/>
      <c r="P170" s="86"/>
      <c r="Q170" s="158"/>
    </row>
    <row r="171" spans="1:17" ht="15.75">
      <c r="A171" s="148">
        <f t="shared" si="72"/>
      </c>
      <c r="B171" s="149">
        <f t="shared" si="73"/>
      </c>
      <c r="C171" s="150">
        <f t="shared" si="63"/>
      </c>
      <c r="D171" s="149">
        <f t="shared" si="64"/>
      </c>
      <c r="E171" s="149">
        <f t="shared" si="74"/>
      </c>
      <c r="F171" s="151">
        <v>0</v>
      </c>
      <c r="G171" s="149">
        <f t="shared" si="75"/>
      </c>
      <c r="H171" s="161"/>
      <c r="I171" s="146"/>
      <c r="J171" s="86"/>
      <c r="K171" s="90">
        <f t="shared" si="62"/>
      </c>
      <c r="L171" s="153">
        <f t="shared" si="76"/>
      </c>
      <c r="M171" s="153">
        <f t="shared" si="77"/>
      </c>
      <c r="N171" s="153">
        <f t="shared" si="78"/>
      </c>
      <c r="O171" s="86"/>
      <c r="P171" s="86"/>
      <c r="Q171" s="158"/>
    </row>
    <row r="172" spans="1:17" ht="15.75">
      <c r="A172" s="148">
        <f t="shared" si="72"/>
      </c>
      <c r="B172" s="149">
        <f t="shared" si="73"/>
      </c>
      <c r="C172" s="150">
        <f t="shared" si="63"/>
      </c>
      <c r="D172" s="149">
        <f t="shared" si="64"/>
      </c>
      <c r="E172" s="149">
        <f t="shared" si="74"/>
      </c>
      <c r="F172" s="151">
        <v>0</v>
      </c>
      <c r="G172" s="149">
        <f t="shared" si="75"/>
      </c>
      <c r="H172" s="161"/>
      <c r="I172" s="146"/>
      <c r="J172" s="86"/>
      <c r="K172" s="90">
        <f t="shared" si="62"/>
      </c>
      <c r="L172" s="153">
        <f t="shared" si="76"/>
      </c>
      <c r="M172" s="153">
        <f t="shared" si="77"/>
      </c>
      <c r="N172" s="153">
        <f t="shared" si="78"/>
      </c>
      <c r="O172" s="86"/>
      <c r="P172" s="86"/>
      <c r="Q172" s="158"/>
    </row>
    <row r="173" spans="1:17" ht="15.75">
      <c r="A173" s="148">
        <f t="shared" si="72"/>
      </c>
      <c r="B173" s="149">
        <f t="shared" si="73"/>
      </c>
      <c r="C173" s="150">
        <f t="shared" si="63"/>
      </c>
      <c r="D173" s="149">
        <f t="shared" si="64"/>
      </c>
      <c r="E173" s="149">
        <f t="shared" si="74"/>
      </c>
      <c r="F173" s="151">
        <v>0</v>
      </c>
      <c r="G173" s="149">
        <f t="shared" si="75"/>
      </c>
      <c r="H173" s="161"/>
      <c r="I173" s="146"/>
      <c r="J173" s="86"/>
      <c r="K173" s="90">
        <f t="shared" si="62"/>
      </c>
      <c r="L173" s="153">
        <f t="shared" si="76"/>
      </c>
      <c r="M173" s="153">
        <f t="shared" si="77"/>
      </c>
      <c r="N173" s="153">
        <f t="shared" si="78"/>
      </c>
      <c r="O173" s="86"/>
      <c r="P173" s="86"/>
      <c r="Q173" s="158"/>
    </row>
    <row r="174" spans="1:17" ht="15.75">
      <c r="A174" s="148">
        <f t="shared" si="72"/>
      </c>
      <c r="B174" s="149">
        <f t="shared" si="73"/>
      </c>
      <c r="C174" s="150">
        <f t="shared" si="63"/>
      </c>
      <c r="D174" s="149">
        <f t="shared" si="64"/>
      </c>
      <c r="E174" s="149">
        <f t="shared" si="74"/>
      </c>
      <c r="F174" s="151">
        <v>0</v>
      </c>
      <c r="G174" s="149">
        <f t="shared" si="75"/>
      </c>
      <c r="H174" s="161"/>
      <c r="I174" s="146"/>
      <c r="J174" s="86"/>
      <c r="K174" s="90">
        <f t="shared" si="62"/>
      </c>
      <c r="L174" s="153">
        <f t="shared" si="76"/>
      </c>
      <c r="M174" s="153">
        <f t="shared" si="77"/>
      </c>
      <c r="N174" s="153">
        <f t="shared" si="78"/>
      </c>
      <c r="O174" s="86"/>
      <c r="P174" s="86"/>
      <c r="Q174" s="158"/>
    </row>
    <row r="175" spans="1:17" ht="15.75">
      <c r="A175" s="148">
        <f t="shared" si="72"/>
      </c>
      <c r="B175" s="149">
        <f t="shared" si="73"/>
      </c>
      <c r="C175" s="150">
        <f t="shared" si="63"/>
      </c>
      <c r="D175" s="149">
        <f t="shared" si="64"/>
      </c>
      <c r="E175" s="149">
        <f t="shared" si="74"/>
      </c>
      <c r="F175" s="151">
        <v>0</v>
      </c>
      <c r="G175" s="149">
        <f t="shared" si="75"/>
      </c>
      <c r="H175" s="161"/>
      <c r="I175" s="146"/>
      <c r="J175" s="86"/>
      <c r="K175" s="90">
        <f t="shared" si="62"/>
      </c>
      <c r="L175" s="153">
        <f t="shared" si="76"/>
      </c>
      <c r="M175" s="153">
        <f t="shared" si="77"/>
      </c>
      <c r="N175" s="153">
        <f t="shared" si="78"/>
      </c>
      <c r="O175" s="86"/>
      <c r="P175" s="86"/>
      <c r="Q175" s="158"/>
    </row>
    <row r="176" spans="1:17" ht="15.75">
      <c r="A176" s="148">
        <f aca="true" t="shared" si="79" ref="A176:A191">IF(G175=0,"",1+A175)</f>
      </c>
      <c r="B176" s="149">
        <f aca="true" t="shared" si="80" ref="B176:B191">IF(G175=0,"",ROUND(G175,2))</f>
      </c>
      <c r="C176" s="150">
        <f t="shared" si="63"/>
      </c>
      <c r="D176" s="149">
        <f t="shared" si="64"/>
      </c>
      <c r="E176" s="149">
        <f aca="true" t="shared" si="81" ref="E176:E191">IF(G175=0,"",C176-D176+F176)</f>
      </c>
      <c r="F176" s="151">
        <v>0</v>
      </c>
      <c r="G176" s="149">
        <f aca="true" t="shared" si="82" ref="G176:G191">IF(G175=0,"",ROUND(B176-E176,2))</f>
      </c>
      <c r="H176" s="161"/>
      <c r="I176" s="146"/>
      <c r="J176" s="86"/>
      <c r="K176" s="90">
        <f t="shared" si="62"/>
      </c>
      <c r="L176" s="153">
        <f aca="true" t="shared" si="83" ref="L176:L191">IF(G175=0,"",C176+F176+L175)</f>
      </c>
      <c r="M176" s="153">
        <f aca="true" t="shared" si="84" ref="M176:M191">IF(G175=0,"",M175+D176)</f>
      </c>
      <c r="N176" s="153">
        <f aca="true" t="shared" si="85" ref="N176:N191">IF(G175=0,"",L176-M176)</f>
      </c>
      <c r="O176" s="86"/>
      <c r="P176" s="86"/>
      <c r="Q176" s="158"/>
    </row>
    <row r="177" spans="1:17" ht="15.75">
      <c r="A177" s="148">
        <f t="shared" si="79"/>
      </c>
      <c r="B177" s="149">
        <f t="shared" si="80"/>
      </c>
      <c r="C177" s="150">
        <f t="shared" si="63"/>
      </c>
      <c r="D177" s="149">
        <f t="shared" si="64"/>
      </c>
      <c r="E177" s="149">
        <f t="shared" si="81"/>
      </c>
      <c r="F177" s="151">
        <v>0</v>
      </c>
      <c r="G177" s="149">
        <f t="shared" si="82"/>
      </c>
      <c r="H177" s="161"/>
      <c r="I177" s="146"/>
      <c r="J177" s="86"/>
      <c r="K177" s="90">
        <f t="shared" si="62"/>
      </c>
      <c r="L177" s="153">
        <f t="shared" si="83"/>
      </c>
      <c r="M177" s="153">
        <f t="shared" si="84"/>
      </c>
      <c r="N177" s="153">
        <f t="shared" si="85"/>
      </c>
      <c r="O177" s="86"/>
      <c r="P177" s="86"/>
      <c r="Q177" s="158"/>
    </row>
    <row r="178" spans="1:17" ht="15.75">
      <c r="A178" s="148">
        <f t="shared" si="79"/>
      </c>
      <c r="B178" s="149">
        <f t="shared" si="80"/>
      </c>
      <c r="C178" s="150">
        <f t="shared" si="63"/>
      </c>
      <c r="D178" s="149">
        <f t="shared" si="64"/>
      </c>
      <c r="E178" s="149">
        <f t="shared" si="81"/>
      </c>
      <c r="F178" s="151">
        <v>0</v>
      </c>
      <c r="G178" s="149">
        <f t="shared" si="82"/>
      </c>
      <c r="H178" s="161"/>
      <c r="I178" s="146"/>
      <c r="J178" s="86"/>
      <c r="K178" s="90">
        <f t="shared" si="62"/>
      </c>
      <c r="L178" s="153">
        <f t="shared" si="83"/>
      </c>
      <c r="M178" s="153">
        <f t="shared" si="84"/>
      </c>
      <c r="N178" s="153">
        <f t="shared" si="85"/>
      </c>
      <c r="O178" s="86"/>
      <c r="P178" s="86"/>
      <c r="Q178" s="158"/>
    </row>
    <row r="179" spans="1:17" ht="15.75">
      <c r="A179" s="148">
        <f t="shared" si="79"/>
      </c>
      <c r="B179" s="149">
        <f t="shared" si="80"/>
      </c>
      <c r="C179" s="150">
        <f t="shared" si="63"/>
      </c>
      <c r="D179" s="149">
        <f t="shared" si="64"/>
      </c>
      <c r="E179" s="149">
        <f t="shared" si="81"/>
      </c>
      <c r="F179" s="151">
        <v>0</v>
      </c>
      <c r="G179" s="149">
        <f t="shared" si="82"/>
      </c>
      <c r="H179" s="161"/>
      <c r="I179" s="146"/>
      <c r="J179" s="86"/>
      <c r="K179" s="90">
        <f t="shared" si="62"/>
      </c>
      <c r="L179" s="153">
        <f t="shared" si="83"/>
      </c>
      <c r="M179" s="153">
        <f t="shared" si="84"/>
      </c>
      <c r="N179" s="153">
        <f t="shared" si="85"/>
      </c>
      <c r="O179" s="86"/>
      <c r="P179" s="86"/>
      <c r="Q179" s="158"/>
    </row>
    <row r="180" spans="1:17" ht="15.75">
      <c r="A180" s="148">
        <f t="shared" si="79"/>
      </c>
      <c r="B180" s="149">
        <f t="shared" si="80"/>
      </c>
      <c r="C180" s="150">
        <f t="shared" si="63"/>
      </c>
      <c r="D180" s="149">
        <f t="shared" si="64"/>
      </c>
      <c r="E180" s="149">
        <f t="shared" si="81"/>
      </c>
      <c r="F180" s="151">
        <v>0</v>
      </c>
      <c r="G180" s="149">
        <f t="shared" si="82"/>
      </c>
      <c r="H180" s="161"/>
      <c r="I180" s="146"/>
      <c r="J180" s="86"/>
      <c r="K180" s="90">
        <f t="shared" si="62"/>
      </c>
      <c r="L180" s="153">
        <f t="shared" si="83"/>
      </c>
      <c r="M180" s="153">
        <f t="shared" si="84"/>
      </c>
      <c r="N180" s="153">
        <f t="shared" si="85"/>
      </c>
      <c r="O180" s="86"/>
      <c r="P180" s="86"/>
      <c r="Q180" s="158"/>
    </row>
    <row r="181" spans="1:17" ht="15.75">
      <c r="A181" s="148">
        <f t="shared" si="79"/>
      </c>
      <c r="B181" s="149">
        <f t="shared" si="80"/>
      </c>
      <c r="C181" s="150">
        <f t="shared" si="63"/>
      </c>
      <c r="D181" s="149">
        <f t="shared" si="64"/>
      </c>
      <c r="E181" s="149">
        <f t="shared" si="81"/>
      </c>
      <c r="F181" s="151">
        <v>0</v>
      </c>
      <c r="G181" s="149">
        <f t="shared" si="82"/>
      </c>
      <c r="H181" s="161"/>
      <c r="I181" s="146"/>
      <c r="J181" s="86"/>
      <c r="K181" s="90">
        <f t="shared" si="62"/>
      </c>
      <c r="L181" s="153">
        <f t="shared" si="83"/>
      </c>
      <c r="M181" s="153">
        <f t="shared" si="84"/>
      </c>
      <c r="N181" s="153">
        <f t="shared" si="85"/>
      </c>
      <c r="O181" s="86"/>
      <c r="P181" s="86"/>
      <c r="Q181" s="158"/>
    </row>
    <row r="182" spans="1:17" ht="15.75">
      <c r="A182" s="148">
        <f t="shared" si="79"/>
      </c>
      <c r="B182" s="149">
        <f t="shared" si="80"/>
      </c>
      <c r="C182" s="150">
        <f t="shared" si="63"/>
      </c>
      <c r="D182" s="149">
        <f t="shared" si="64"/>
      </c>
      <c r="E182" s="149">
        <f t="shared" si="81"/>
      </c>
      <c r="F182" s="151">
        <v>0</v>
      </c>
      <c r="G182" s="149">
        <f t="shared" si="82"/>
      </c>
      <c r="H182" s="161"/>
      <c r="I182" s="146"/>
      <c r="J182" s="86"/>
      <c r="K182" s="90">
        <f t="shared" si="62"/>
      </c>
      <c r="L182" s="153">
        <f t="shared" si="83"/>
      </c>
      <c r="M182" s="153">
        <f t="shared" si="84"/>
      </c>
      <c r="N182" s="153">
        <f t="shared" si="85"/>
      </c>
      <c r="O182" s="86"/>
      <c r="P182" s="86"/>
      <c r="Q182" s="158"/>
    </row>
    <row r="183" spans="1:17" ht="15.75">
      <c r="A183" s="148">
        <f t="shared" si="79"/>
      </c>
      <c r="B183" s="149">
        <f t="shared" si="80"/>
      </c>
      <c r="C183" s="150">
        <f t="shared" si="63"/>
      </c>
      <c r="D183" s="149">
        <f t="shared" si="64"/>
      </c>
      <c r="E183" s="149">
        <f t="shared" si="81"/>
      </c>
      <c r="F183" s="151">
        <v>0</v>
      </c>
      <c r="G183" s="149">
        <f t="shared" si="82"/>
      </c>
      <c r="H183" s="161"/>
      <c r="I183" s="146"/>
      <c r="J183" s="86"/>
      <c r="K183" s="90">
        <f t="shared" si="62"/>
      </c>
      <c r="L183" s="153">
        <f t="shared" si="83"/>
      </c>
      <c r="M183" s="153">
        <f t="shared" si="84"/>
      </c>
      <c r="N183" s="153">
        <f t="shared" si="85"/>
      </c>
      <c r="O183" s="86"/>
      <c r="P183" s="86"/>
      <c r="Q183" s="158"/>
    </row>
    <row r="184" spans="1:17" ht="15.75">
      <c r="A184" s="148">
        <f t="shared" si="79"/>
      </c>
      <c r="B184" s="149">
        <f t="shared" si="80"/>
      </c>
      <c r="C184" s="150">
        <f t="shared" si="63"/>
      </c>
      <c r="D184" s="149">
        <f t="shared" si="64"/>
      </c>
      <c r="E184" s="149">
        <f t="shared" si="81"/>
      </c>
      <c r="F184" s="151">
        <v>0</v>
      </c>
      <c r="G184" s="149">
        <f t="shared" si="82"/>
      </c>
      <c r="H184" s="161"/>
      <c r="I184" s="146"/>
      <c r="J184" s="86"/>
      <c r="K184" s="90">
        <f t="shared" si="62"/>
      </c>
      <c r="L184" s="153">
        <f t="shared" si="83"/>
      </c>
      <c r="M184" s="153">
        <f t="shared" si="84"/>
      </c>
      <c r="N184" s="153">
        <f t="shared" si="85"/>
      </c>
      <c r="O184" s="86"/>
      <c r="P184" s="86"/>
      <c r="Q184" s="158"/>
    </row>
    <row r="185" spans="1:17" ht="15.75">
      <c r="A185" s="148">
        <f t="shared" si="79"/>
      </c>
      <c r="B185" s="149">
        <f t="shared" si="80"/>
      </c>
      <c r="C185" s="150">
        <f t="shared" si="63"/>
      </c>
      <c r="D185" s="149">
        <f t="shared" si="64"/>
      </c>
      <c r="E185" s="149">
        <f t="shared" si="81"/>
      </c>
      <c r="F185" s="151">
        <v>0</v>
      </c>
      <c r="G185" s="149">
        <f t="shared" si="82"/>
      </c>
      <c r="H185" s="161"/>
      <c r="I185" s="146"/>
      <c r="J185" s="86"/>
      <c r="K185" s="90">
        <f t="shared" si="62"/>
      </c>
      <c r="L185" s="153">
        <f t="shared" si="83"/>
      </c>
      <c r="M185" s="153">
        <f t="shared" si="84"/>
      </c>
      <c r="N185" s="153">
        <f t="shared" si="85"/>
      </c>
      <c r="O185" s="86"/>
      <c r="P185" s="86"/>
      <c r="Q185" s="158"/>
    </row>
    <row r="186" spans="1:17" ht="15.75">
      <c r="A186" s="148">
        <f t="shared" si="79"/>
      </c>
      <c r="B186" s="149">
        <f t="shared" si="80"/>
      </c>
      <c r="C186" s="150">
        <f t="shared" si="63"/>
      </c>
      <c r="D186" s="149">
        <f t="shared" si="64"/>
      </c>
      <c r="E186" s="149">
        <f t="shared" si="81"/>
      </c>
      <c r="F186" s="151">
        <v>0</v>
      </c>
      <c r="G186" s="149">
        <f t="shared" si="82"/>
      </c>
      <c r="H186" s="161"/>
      <c r="I186" s="146"/>
      <c r="J186" s="86"/>
      <c r="K186" s="90">
        <f t="shared" si="62"/>
      </c>
      <c r="L186" s="153">
        <f t="shared" si="83"/>
      </c>
      <c r="M186" s="153">
        <f t="shared" si="84"/>
      </c>
      <c r="N186" s="153">
        <f t="shared" si="85"/>
      </c>
      <c r="O186" s="86"/>
      <c r="P186" s="86"/>
      <c r="Q186" s="158"/>
    </row>
    <row r="187" spans="1:17" ht="15.75">
      <c r="A187" s="148">
        <f t="shared" si="79"/>
      </c>
      <c r="B187" s="149">
        <f t="shared" si="80"/>
      </c>
      <c r="C187" s="150">
        <f t="shared" si="63"/>
      </c>
      <c r="D187" s="149">
        <f t="shared" si="64"/>
      </c>
      <c r="E187" s="149">
        <f t="shared" si="81"/>
      </c>
      <c r="F187" s="151">
        <v>0</v>
      </c>
      <c r="G187" s="149">
        <f t="shared" si="82"/>
      </c>
      <c r="H187" s="161"/>
      <c r="I187" s="146"/>
      <c r="J187" s="86"/>
      <c r="K187" s="90">
        <f t="shared" si="62"/>
      </c>
      <c r="L187" s="153">
        <f t="shared" si="83"/>
      </c>
      <c r="M187" s="153">
        <f t="shared" si="84"/>
      </c>
      <c r="N187" s="153">
        <f t="shared" si="85"/>
      </c>
      <c r="O187" s="86"/>
      <c r="P187" s="86"/>
      <c r="Q187" s="158"/>
    </row>
    <row r="188" spans="1:17" ht="15.75">
      <c r="A188" s="148">
        <f t="shared" si="79"/>
      </c>
      <c r="B188" s="149">
        <f t="shared" si="80"/>
      </c>
      <c r="C188" s="150">
        <f t="shared" si="63"/>
      </c>
      <c r="D188" s="149">
        <f t="shared" si="64"/>
      </c>
      <c r="E188" s="149">
        <f t="shared" si="81"/>
      </c>
      <c r="F188" s="151">
        <v>0</v>
      </c>
      <c r="G188" s="149">
        <f t="shared" si="82"/>
      </c>
      <c r="H188" s="161"/>
      <c r="I188" s="146"/>
      <c r="J188" s="86"/>
      <c r="K188" s="90">
        <f t="shared" si="62"/>
      </c>
      <c r="L188" s="153">
        <f t="shared" si="83"/>
      </c>
      <c r="M188" s="153">
        <f t="shared" si="84"/>
      </c>
      <c r="N188" s="153">
        <f t="shared" si="85"/>
      </c>
      <c r="O188" s="86"/>
      <c r="P188" s="86"/>
      <c r="Q188" s="158"/>
    </row>
    <row r="189" spans="1:17" ht="15.75">
      <c r="A189" s="148">
        <f t="shared" si="79"/>
      </c>
      <c r="B189" s="149">
        <f t="shared" si="80"/>
      </c>
      <c r="C189" s="150">
        <f t="shared" si="63"/>
      </c>
      <c r="D189" s="149">
        <f t="shared" si="64"/>
      </c>
      <c r="E189" s="149">
        <f t="shared" si="81"/>
      </c>
      <c r="F189" s="151">
        <v>0</v>
      </c>
      <c r="G189" s="149">
        <f t="shared" si="82"/>
      </c>
      <c r="H189" s="161"/>
      <c r="I189" s="146"/>
      <c r="J189" s="86"/>
      <c r="K189" s="90">
        <f t="shared" si="62"/>
      </c>
      <c r="L189" s="153">
        <f t="shared" si="83"/>
      </c>
      <c r="M189" s="153">
        <f t="shared" si="84"/>
      </c>
      <c r="N189" s="153">
        <f t="shared" si="85"/>
      </c>
      <c r="O189" s="86"/>
      <c r="P189" s="86"/>
      <c r="Q189" s="158"/>
    </row>
    <row r="190" spans="1:17" ht="15.75">
      <c r="A190" s="148">
        <f t="shared" si="79"/>
      </c>
      <c r="B190" s="149">
        <f t="shared" si="80"/>
      </c>
      <c r="C190" s="150">
        <f t="shared" si="63"/>
      </c>
      <c r="D190" s="149">
        <f t="shared" si="64"/>
      </c>
      <c r="E190" s="149">
        <f t="shared" si="81"/>
      </c>
      <c r="F190" s="151">
        <v>0</v>
      </c>
      <c r="G190" s="149">
        <f t="shared" si="82"/>
      </c>
      <c r="H190" s="161"/>
      <c r="I190" s="146"/>
      <c r="J190" s="86"/>
      <c r="K190" s="90">
        <f t="shared" si="62"/>
      </c>
      <c r="L190" s="153">
        <f t="shared" si="83"/>
      </c>
      <c r="M190" s="153">
        <f t="shared" si="84"/>
      </c>
      <c r="N190" s="153">
        <f t="shared" si="85"/>
      </c>
      <c r="O190" s="86"/>
      <c r="P190" s="86"/>
      <c r="Q190" s="158"/>
    </row>
    <row r="191" spans="1:17" ht="15.75">
      <c r="A191" s="148">
        <f t="shared" si="79"/>
      </c>
      <c r="B191" s="149">
        <f t="shared" si="80"/>
      </c>
      <c r="C191" s="150">
        <f t="shared" si="63"/>
      </c>
      <c r="D191" s="149">
        <f t="shared" si="64"/>
      </c>
      <c r="E191" s="149">
        <f t="shared" si="81"/>
      </c>
      <c r="F191" s="151">
        <v>0</v>
      </c>
      <c r="G191" s="149">
        <f t="shared" si="82"/>
      </c>
      <c r="H191" s="161"/>
      <c r="I191" s="146"/>
      <c r="J191" s="86"/>
      <c r="K191" s="90">
        <f t="shared" si="62"/>
      </c>
      <c r="L191" s="153">
        <f t="shared" si="83"/>
      </c>
      <c r="M191" s="153">
        <f t="shared" si="84"/>
      </c>
      <c r="N191" s="153">
        <f t="shared" si="85"/>
      </c>
      <c r="O191" s="86"/>
      <c r="P191" s="86"/>
      <c r="Q191" s="158"/>
    </row>
    <row r="192" spans="1:17" ht="15.75">
      <c r="A192" s="148">
        <f aca="true" t="shared" si="86" ref="A192:A207">IF(G191=0,"",1+A191)</f>
      </c>
      <c r="B192" s="149">
        <f aca="true" t="shared" si="87" ref="B192:B207">IF(G191=0,"",ROUND(G191,2))</f>
      </c>
      <c r="C192" s="150">
        <f t="shared" si="63"/>
      </c>
      <c r="D192" s="149">
        <f t="shared" si="64"/>
      </c>
      <c r="E192" s="149">
        <f aca="true" t="shared" si="88" ref="E192:E207">IF(G191=0,"",C192-D192+F192)</f>
      </c>
      <c r="F192" s="151">
        <v>0</v>
      </c>
      <c r="G192" s="149">
        <f aca="true" t="shared" si="89" ref="G192:G207">IF(G191=0,"",ROUND(B192-E192,2))</f>
      </c>
      <c r="H192" s="161"/>
      <c r="I192" s="146"/>
      <c r="J192" s="86"/>
      <c r="K192" s="90">
        <f t="shared" si="62"/>
      </c>
      <c r="L192" s="153">
        <f aca="true" t="shared" si="90" ref="L192:L207">IF(G191=0,"",C192+F192+L191)</f>
      </c>
      <c r="M192" s="153">
        <f aca="true" t="shared" si="91" ref="M192:M207">IF(G191=0,"",M191+D192)</f>
      </c>
      <c r="N192" s="153">
        <f aca="true" t="shared" si="92" ref="N192:N207">IF(G191=0,"",L192-M192)</f>
      </c>
      <c r="O192" s="86"/>
      <c r="P192" s="86"/>
      <c r="Q192" s="158"/>
    </row>
    <row r="193" spans="1:17" ht="15.75">
      <c r="A193" s="148">
        <f t="shared" si="86"/>
      </c>
      <c r="B193" s="149">
        <f t="shared" si="87"/>
      </c>
      <c r="C193" s="150">
        <f t="shared" si="63"/>
      </c>
      <c r="D193" s="149">
        <f t="shared" si="64"/>
      </c>
      <c r="E193" s="149">
        <f t="shared" si="88"/>
      </c>
      <c r="F193" s="151">
        <v>0</v>
      </c>
      <c r="G193" s="149">
        <f t="shared" si="89"/>
      </c>
      <c r="H193" s="161"/>
      <c r="I193" s="146"/>
      <c r="J193" s="86"/>
      <c r="K193" s="90">
        <f t="shared" si="62"/>
      </c>
      <c r="L193" s="153">
        <f t="shared" si="90"/>
      </c>
      <c r="M193" s="153">
        <f t="shared" si="91"/>
      </c>
      <c r="N193" s="153">
        <f t="shared" si="92"/>
      </c>
      <c r="O193" s="86"/>
      <c r="P193" s="86"/>
      <c r="Q193" s="158"/>
    </row>
    <row r="194" spans="1:17" ht="15.75">
      <c r="A194" s="148">
        <f t="shared" si="86"/>
      </c>
      <c r="B194" s="149">
        <f t="shared" si="87"/>
      </c>
      <c r="C194" s="150">
        <f t="shared" si="63"/>
      </c>
      <c r="D194" s="149">
        <f t="shared" si="64"/>
      </c>
      <c r="E194" s="149">
        <f t="shared" si="88"/>
      </c>
      <c r="F194" s="151">
        <v>0</v>
      </c>
      <c r="G194" s="149">
        <f t="shared" si="89"/>
      </c>
      <c r="H194" s="161"/>
      <c r="I194" s="146"/>
      <c r="J194" s="86"/>
      <c r="K194" s="90">
        <f t="shared" si="62"/>
      </c>
      <c r="L194" s="153">
        <f t="shared" si="90"/>
      </c>
      <c r="M194" s="153">
        <f t="shared" si="91"/>
      </c>
      <c r="N194" s="153">
        <f t="shared" si="92"/>
      </c>
      <c r="O194" s="86"/>
      <c r="P194" s="86"/>
      <c r="Q194" s="158"/>
    </row>
    <row r="195" spans="1:17" ht="15.75">
      <c r="A195" s="148">
        <f t="shared" si="86"/>
      </c>
      <c r="B195" s="149">
        <f t="shared" si="87"/>
      </c>
      <c r="C195" s="150">
        <f t="shared" si="63"/>
      </c>
      <c r="D195" s="149">
        <f t="shared" si="64"/>
      </c>
      <c r="E195" s="149">
        <f t="shared" si="88"/>
      </c>
      <c r="F195" s="151">
        <v>0</v>
      </c>
      <c r="G195" s="149">
        <f t="shared" si="89"/>
      </c>
      <c r="H195" s="161"/>
      <c r="I195" s="146"/>
      <c r="J195" s="86"/>
      <c r="K195" s="90">
        <f t="shared" si="62"/>
      </c>
      <c r="L195" s="153">
        <f t="shared" si="90"/>
      </c>
      <c r="M195" s="153">
        <f t="shared" si="91"/>
      </c>
      <c r="N195" s="153">
        <f t="shared" si="92"/>
      </c>
      <c r="O195" s="86"/>
      <c r="P195" s="86"/>
      <c r="Q195" s="158"/>
    </row>
    <row r="196" spans="1:17" ht="15.75">
      <c r="A196" s="148">
        <f t="shared" si="86"/>
      </c>
      <c r="B196" s="149">
        <f t="shared" si="87"/>
      </c>
      <c r="C196" s="150">
        <f t="shared" si="63"/>
      </c>
      <c r="D196" s="149">
        <f t="shared" si="64"/>
      </c>
      <c r="E196" s="149">
        <f t="shared" si="88"/>
      </c>
      <c r="F196" s="151">
        <v>0</v>
      </c>
      <c r="G196" s="149">
        <f t="shared" si="89"/>
      </c>
      <c r="H196" s="161"/>
      <c r="I196" s="146"/>
      <c r="J196" s="86"/>
      <c r="K196" s="90">
        <f t="shared" si="62"/>
      </c>
      <c r="L196" s="153">
        <f t="shared" si="90"/>
      </c>
      <c r="M196" s="153">
        <f t="shared" si="91"/>
      </c>
      <c r="N196" s="153">
        <f t="shared" si="92"/>
      </c>
      <c r="O196" s="86"/>
      <c r="P196" s="86"/>
      <c r="Q196" s="158"/>
    </row>
    <row r="197" spans="1:17" ht="15.75">
      <c r="A197" s="148">
        <f t="shared" si="86"/>
      </c>
      <c r="B197" s="149">
        <f t="shared" si="87"/>
      </c>
      <c r="C197" s="150">
        <f t="shared" si="63"/>
      </c>
      <c r="D197" s="149">
        <f t="shared" si="64"/>
      </c>
      <c r="E197" s="149">
        <f t="shared" si="88"/>
      </c>
      <c r="F197" s="151">
        <v>0</v>
      </c>
      <c r="G197" s="149">
        <f t="shared" si="89"/>
      </c>
      <c r="H197" s="161"/>
      <c r="I197" s="146"/>
      <c r="J197" s="86"/>
      <c r="K197" s="90">
        <f t="shared" si="62"/>
      </c>
      <c r="L197" s="153">
        <f t="shared" si="90"/>
      </c>
      <c r="M197" s="153">
        <f t="shared" si="91"/>
      </c>
      <c r="N197" s="153">
        <f t="shared" si="92"/>
      </c>
      <c r="O197" s="86"/>
      <c r="P197" s="86"/>
      <c r="Q197" s="158"/>
    </row>
    <row r="198" spans="1:17" ht="15.75">
      <c r="A198" s="148">
        <f t="shared" si="86"/>
      </c>
      <c r="B198" s="149">
        <f t="shared" si="87"/>
      </c>
      <c r="C198" s="150">
        <f t="shared" si="63"/>
      </c>
      <c r="D198" s="149">
        <f t="shared" si="64"/>
      </c>
      <c r="E198" s="149">
        <f t="shared" si="88"/>
      </c>
      <c r="F198" s="151">
        <v>0</v>
      </c>
      <c r="G198" s="149">
        <f t="shared" si="89"/>
      </c>
      <c r="H198" s="161"/>
      <c r="I198" s="146"/>
      <c r="J198" s="86"/>
      <c r="K198" s="90">
        <f t="shared" si="62"/>
      </c>
      <c r="L198" s="153">
        <f t="shared" si="90"/>
      </c>
      <c r="M198" s="153">
        <f t="shared" si="91"/>
      </c>
      <c r="N198" s="153">
        <f t="shared" si="92"/>
      </c>
      <c r="O198" s="86"/>
      <c r="P198" s="86"/>
      <c r="Q198" s="158"/>
    </row>
    <row r="199" spans="1:17" ht="15.75">
      <c r="A199" s="148">
        <f t="shared" si="86"/>
      </c>
      <c r="B199" s="149">
        <f t="shared" si="87"/>
      </c>
      <c r="C199" s="150">
        <f t="shared" si="63"/>
      </c>
      <c r="D199" s="149">
        <f t="shared" si="64"/>
      </c>
      <c r="E199" s="149">
        <f t="shared" si="88"/>
      </c>
      <c r="F199" s="151">
        <v>0</v>
      </c>
      <c r="G199" s="149">
        <f t="shared" si="89"/>
      </c>
      <c r="H199" s="161"/>
      <c r="I199" s="146"/>
      <c r="J199" s="86"/>
      <c r="K199" s="90">
        <f t="shared" si="62"/>
      </c>
      <c r="L199" s="153">
        <f t="shared" si="90"/>
      </c>
      <c r="M199" s="153">
        <f t="shared" si="91"/>
      </c>
      <c r="N199" s="153">
        <f t="shared" si="92"/>
      </c>
      <c r="O199" s="86"/>
      <c r="P199" s="86"/>
      <c r="Q199" s="158"/>
    </row>
    <row r="200" spans="1:17" ht="15.75">
      <c r="A200" s="148">
        <f t="shared" si="86"/>
      </c>
      <c r="B200" s="149">
        <f t="shared" si="87"/>
      </c>
      <c r="C200" s="150">
        <f t="shared" si="63"/>
      </c>
      <c r="D200" s="149">
        <f t="shared" si="64"/>
      </c>
      <c r="E200" s="149">
        <f t="shared" si="88"/>
      </c>
      <c r="F200" s="151">
        <v>0</v>
      </c>
      <c r="G200" s="149">
        <f t="shared" si="89"/>
      </c>
      <c r="H200" s="161"/>
      <c r="I200" s="146"/>
      <c r="J200" s="86"/>
      <c r="K200" s="90">
        <f t="shared" si="62"/>
      </c>
      <c r="L200" s="153">
        <f t="shared" si="90"/>
      </c>
      <c r="M200" s="153">
        <f t="shared" si="91"/>
      </c>
      <c r="N200" s="153">
        <f t="shared" si="92"/>
      </c>
      <c r="O200" s="86"/>
      <c r="P200" s="86"/>
      <c r="Q200" s="158"/>
    </row>
    <row r="201" spans="1:17" ht="15.75">
      <c r="A201" s="148">
        <f t="shared" si="86"/>
      </c>
      <c r="B201" s="149">
        <f t="shared" si="87"/>
      </c>
      <c r="C201" s="150">
        <f t="shared" si="63"/>
      </c>
      <c r="D201" s="149">
        <f t="shared" si="64"/>
      </c>
      <c r="E201" s="149">
        <f t="shared" si="88"/>
      </c>
      <c r="F201" s="151">
        <v>0</v>
      </c>
      <c r="G201" s="149">
        <f t="shared" si="89"/>
      </c>
      <c r="H201" s="161"/>
      <c r="I201" s="146"/>
      <c r="J201" s="86"/>
      <c r="K201" s="90">
        <f t="shared" si="62"/>
      </c>
      <c r="L201" s="153">
        <f t="shared" si="90"/>
      </c>
      <c r="M201" s="153">
        <f t="shared" si="91"/>
      </c>
      <c r="N201" s="153">
        <f t="shared" si="92"/>
      </c>
      <c r="O201" s="86"/>
      <c r="P201" s="86"/>
      <c r="Q201" s="158"/>
    </row>
    <row r="202" spans="1:17" ht="15.75">
      <c r="A202" s="148">
        <f t="shared" si="86"/>
      </c>
      <c r="B202" s="149">
        <f t="shared" si="87"/>
      </c>
      <c r="C202" s="150">
        <f t="shared" si="63"/>
      </c>
      <c r="D202" s="149">
        <f t="shared" si="64"/>
      </c>
      <c r="E202" s="149">
        <f t="shared" si="88"/>
      </c>
      <c r="F202" s="151">
        <v>0</v>
      </c>
      <c r="G202" s="149">
        <f t="shared" si="89"/>
      </c>
      <c r="H202" s="161"/>
      <c r="I202" s="146"/>
      <c r="J202" s="86"/>
      <c r="K202" s="90">
        <f t="shared" si="62"/>
      </c>
      <c r="L202" s="153">
        <f t="shared" si="90"/>
      </c>
      <c r="M202" s="153">
        <f t="shared" si="91"/>
      </c>
      <c r="N202" s="153">
        <f t="shared" si="92"/>
      </c>
      <c r="O202" s="86"/>
      <c r="P202" s="86"/>
      <c r="Q202" s="158"/>
    </row>
    <row r="203" spans="1:17" ht="15.75">
      <c r="A203" s="148">
        <f t="shared" si="86"/>
      </c>
      <c r="B203" s="149">
        <f t="shared" si="87"/>
      </c>
      <c r="C203" s="150">
        <f t="shared" si="63"/>
      </c>
      <c r="D203" s="149">
        <f t="shared" si="64"/>
      </c>
      <c r="E203" s="149">
        <f t="shared" si="88"/>
      </c>
      <c r="F203" s="151">
        <v>0</v>
      </c>
      <c r="G203" s="149">
        <f t="shared" si="89"/>
      </c>
      <c r="H203" s="161"/>
      <c r="I203" s="146"/>
      <c r="J203" s="86"/>
      <c r="K203" s="90">
        <f t="shared" si="62"/>
      </c>
      <c r="L203" s="153">
        <f t="shared" si="90"/>
      </c>
      <c r="M203" s="153">
        <f t="shared" si="91"/>
      </c>
      <c r="N203" s="153">
        <f t="shared" si="92"/>
      </c>
      <c r="O203" s="86"/>
      <c r="P203" s="86"/>
      <c r="Q203" s="158"/>
    </row>
    <row r="204" spans="1:17" ht="15.75">
      <c r="A204" s="148">
        <f t="shared" si="86"/>
      </c>
      <c r="B204" s="149">
        <f t="shared" si="87"/>
      </c>
      <c r="C204" s="150">
        <f t="shared" si="63"/>
      </c>
      <c r="D204" s="149">
        <f t="shared" si="64"/>
      </c>
      <c r="E204" s="149">
        <f t="shared" si="88"/>
      </c>
      <c r="F204" s="151">
        <v>0</v>
      </c>
      <c r="G204" s="149">
        <f t="shared" si="89"/>
      </c>
      <c r="H204" s="161"/>
      <c r="I204" s="146"/>
      <c r="J204" s="86"/>
      <c r="K204" s="90">
        <f t="shared" si="62"/>
      </c>
      <c r="L204" s="153">
        <f t="shared" si="90"/>
      </c>
      <c r="M204" s="153">
        <f t="shared" si="91"/>
      </c>
      <c r="N204" s="153">
        <f t="shared" si="92"/>
      </c>
      <c r="O204" s="86"/>
      <c r="P204" s="86"/>
      <c r="Q204" s="158"/>
    </row>
    <row r="205" spans="1:17" ht="15.75">
      <c r="A205" s="148">
        <f t="shared" si="86"/>
      </c>
      <c r="B205" s="149">
        <f t="shared" si="87"/>
      </c>
      <c r="C205" s="150">
        <f t="shared" si="63"/>
      </c>
      <c r="D205" s="149">
        <f t="shared" si="64"/>
      </c>
      <c r="E205" s="149">
        <f t="shared" si="88"/>
      </c>
      <c r="F205" s="151">
        <v>0</v>
      </c>
      <c r="G205" s="149">
        <f t="shared" si="89"/>
      </c>
      <c r="H205" s="161"/>
      <c r="I205" s="146"/>
      <c r="J205" s="86"/>
      <c r="K205" s="90">
        <f t="shared" si="62"/>
      </c>
      <c r="L205" s="153">
        <f t="shared" si="90"/>
      </c>
      <c r="M205" s="153">
        <f t="shared" si="91"/>
      </c>
      <c r="N205" s="153">
        <f t="shared" si="92"/>
      </c>
      <c r="O205" s="86"/>
      <c r="P205" s="86"/>
      <c r="Q205" s="158"/>
    </row>
    <row r="206" spans="1:17" ht="15.75">
      <c r="A206" s="148">
        <f t="shared" si="86"/>
      </c>
      <c r="B206" s="149">
        <f t="shared" si="87"/>
      </c>
      <c r="C206" s="150">
        <f t="shared" si="63"/>
      </c>
      <c r="D206" s="149">
        <f t="shared" si="64"/>
      </c>
      <c r="E206" s="149">
        <f t="shared" si="88"/>
      </c>
      <c r="F206" s="151">
        <v>0</v>
      </c>
      <c r="G206" s="149">
        <f t="shared" si="89"/>
      </c>
      <c r="H206" s="161"/>
      <c r="I206" s="146"/>
      <c r="J206" s="86"/>
      <c r="K206" s="90">
        <f aca="true" t="shared" si="93" ref="K206:K269">A206</f>
      </c>
      <c r="L206" s="153">
        <f t="shared" si="90"/>
      </c>
      <c r="M206" s="153">
        <f t="shared" si="91"/>
      </c>
      <c r="N206" s="153">
        <f t="shared" si="92"/>
      </c>
      <c r="O206" s="86"/>
      <c r="P206" s="86"/>
      <c r="Q206" s="158"/>
    </row>
    <row r="207" spans="1:17" ht="15.75">
      <c r="A207" s="148">
        <f t="shared" si="86"/>
      </c>
      <c r="B207" s="149">
        <f t="shared" si="87"/>
      </c>
      <c r="C207" s="150">
        <f aca="true" t="shared" si="94" ref="C207:C270">IF(G206=0,"",ROUND(IF(B207+D207&lt;$F$3,B207+D207,$F$3),2))</f>
      </c>
      <c r="D207" s="149">
        <f aca="true" t="shared" si="95" ref="D207:D270">IF(G206=0,"",ROUND(((1+($D$4/($D$7*100)))^($D$7/$D$6)-1)*B207,2))</f>
      </c>
      <c r="E207" s="149">
        <f t="shared" si="88"/>
      </c>
      <c r="F207" s="151">
        <v>0</v>
      </c>
      <c r="G207" s="149">
        <f t="shared" si="89"/>
      </c>
      <c r="H207" s="161"/>
      <c r="I207" s="146"/>
      <c r="J207" s="86"/>
      <c r="K207" s="90">
        <f t="shared" si="93"/>
      </c>
      <c r="L207" s="153">
        <f t="shared" si="90"/>
      </c>
      <c r="M207" s="153">
        <f t="shared" si="91"/>
      </c>
      <c r="N207" s="153">
        <f t="shared" si="92"/>
      </c>
      <c r="O207" s="86"/>
      <c r="P207" s="86"/>
      <c r="Q207" s="158"/>
    </row>
    <row r="208" spans="1:17" ht="15.75">
      <c r="A208" s="148">
        <f aca="true" t="shared" si="96" ref="A208:A223">IF(G207=0,"",1+A207)</f>
      </c>
      <c r="B208" s="149">
        <f aca="true" t="shared" si="97" ref="B208:B223">IF(G207=0,"",ROUND(G207,2))</f>
      </c>
      <c r="C208" s="150">
        <f t="shared" si="94"/>
      </c>
      <c r="D208" s="149">
        <f t="shared" si="95"/>
      </c>
      <c r="E208" s="149">
        <f aca="true" t="shared" si="98" ref="E208:E223">IF(G207=0,"",C208-D208+F208)</f>
      </c>
      <c r="F208" s="151">
        <v>0</v>
      </c>
      <c r="G208" s="149">
        <f aca="true" t="shared" si="99" ref="G208:G223">IF(G207=0,"",ROUND(B208-E208,2))</f>
      </c>
      <c r="H208" s="161"/>
      <c r="I208" s="146"/>
      <c r="J208" s="86"/>
      <c r="K208" s="90">
        <f t="shared" si="93"/>
      </c>
      <c r="L208" s="153">
        <f aca="true" t="shared" si="100" ref="L208:L223">IF(G207=0,"",C208+F208+L207)</f>
      </c>
      <c r="M208" s="153">
        <f aca="true" t="shared" si="101" ref="M208:M223">IF(G207=0,"",M207+D208)</f>
      </c>
      <c r="N208" s="153">
        <f aca="true" t="shared" si="102" ref="N208:N223">IF(G207=0,"",L208-M208)</f>
      </c>
      <c r="O208" s="86"/>
      <c r="P208" s="86"/>
      <c r="Q208" s="158"/>
    </row>
    <row r="209" spans="1:17" ht="15.75">
      <c r="A209" s="148">
        <f t="shared" si="96"/>
      </c>
      <c r="B209" s="149">
        <f t="shared" si="97"/>
      </c>
      <c r="C209" s="150">
        <f t="shared" si="94"/>
      </c>
      <c r="D209" s="149">
        <f t="shared" si="95"/>
      </c>
      <c r="E209" s="149">
        <f t="shared" si="98"/>
      </c>
      <c r="F209" s="151">
        <v>0</v>
      </c>
      <c r="G209" s="149">
        <f t="shared" si="99"/>
      </c>
      <c r="H209" s="161"/>
      <c r="I209" s="146"/>
      <c r="J209" s="86"/>
      <c r="K209" s="90">
        <f t="shared" si="93"/>
      </c>
      <c r="L209" s="153">
        <f t="shared" si="100"/>
      </c>
      <c r="M209" s="153">
        <f t="shared" si="101"/>
      </c>
      <c r="N209" s="153">
        <f t="shared" si="102"/>
      </c>
      <c r="O209" s="86"/>
      <c r="P209" s="86"/>
      <c r="Q209" s="158"/>
    </row>
    <row r="210" spans="1:17" ht="15.75">
      <c r="A210" s="148">
        <f t="shared" si="96"/>
      </c>
      <c r="B210" s="149">
        <f t="shared" si="97"/>
      </c>
      <c r="C210" s="150">
        <f t="shared" si="94"/>
      </c>
      <c r="D210" s="149">
        <f t="shared" si="95"/>
      </c>
      <c r="E210" s="149">
        <f t="shared" si="98"/>
      </c>
      <c r="F210" s="151">
        <v>0</v>
      </c>
      <c r="G210" s="149">
        <f t="shared" si="99"/>
      </c>
      <c r="H210" s="161"/>
      <c r="I210" s="146"/>
      <c r="J210" s="86"/>
      <c r="K210" s="90">
        <f t="shared" si="93"/>
      </c>
      <c r="L210" s="153">
        <f t="shared" si="100"/>
      </c>
      <c r="M210" s="153">
        <f t="shared" si="101"/>
      </c>
      <c r="N210" s="153">
        <f t="shared" si="102"/>
      </c>
      <c r="O210" s="86"/>
      <c r="P210" s="86"/>
      <c r="Q210" s="158"/>
    </row>
    <row r="211" spans="1:17" ht="15.75">
      <c r="A211" s="148">
        <f t="shared" si="96"/>
      </c>
      <c r="B211" s="149">
        <f t="shared" si="97"/>
      </c>
      <c r="C211" s="150">
        <f t="shared" si="94"/>
      </c>
      <c r="D211" s="149">
        <f t="shared" si="95"/>
      </c>
      <c r="E211" s="149">
        <f t="shared" si="98"/>
      </c>
      <c r="F211" s="151">
        <v>0</v>
      </c>
      <c r="G211" s="149">
        <f t="shared" si="99"/>
      </c>
      <c r="H211" s="161"/>
      <c r="I211" s="146"/>
      <c r="J211" s="86"/>
      <c r="K211" s="90">
        <f t="shared" si="93"/>
      </c>
      <c r="L211" s="153">
        <f t="shared" si="100"/>
      </c>
      <c r="M211" s="153">
        <f t="shared" si="101"/>
      </c>
      <c r="N211" s="153">
        <f t="shared" si="102"/>
      </c>
      <c r="O211" s="86"/>
      <c r="P211" s="86"/>
      <c r="Q211" s="158"/>
    </row>
    <row r="212" spans="1:17" ht="15.75">
      <c r="A212" s="148">
        <f t="shared" si="96"/>
      </c>
      <c r="B212" s="149">
        <f t="shared" si="97"/>
      </c>
      <c r="C212" s="150">
        <f t="shared" si="94"/>
      </c>
      <c r="D212" s="149">
        <f t="shared" si="95"/>
      </c>
      <c r="E212" s="149">
        <f t="shared" si="98"/>
      </c>
      <c r="F212" s="151">
        <v>0</v>
      </c>
      <c r="G212" s="149">
        <f t="shared" si="99"/>
      </c>
      <c r="H212" s="161"/>
      <c r="I212" s="146"/>
      <c r="J212" s="86"/>
      <c r="K212" s="90">
        <f t="shared" si="93"/>
      </c>
      <c r="L212" s="153">
        <f t="shared" si="100"/>
      </c>
      <c r="M212" s="153">
        <f t="shared" si="101"/>
      </c>
      <c r="N212" s="153">
        <f t="shared" si="102"/>
      </c>
      <c r="O212" s="86"/>
      <c r="P212" s="86"/>
      <c r="Q212" s="158"/>
    </row>
    <row r="213" spans="1:17" ht="15.75">
      <c r="A213" s="148">
        <f t="shared" si="96"/>
      </c>
      <c r="B213" s="149">
        <f t="shared" si="97"/>
      </c>
      <c r="C213" s="150">
        <f t="shared" si="94"/>
      </c>
      <c r="D213" s="149">
        <f t="shared" si="95"/>
      </c>
      <c r="E213" s="149">
        <f t="shared" si="98"/>
      </c>
      <c r="F213" s="151">
        <v>0</v>
      </c>
      <c r="G213" s="149">
        <f t="shared" si="99"/>
      </c>
      <c r="H213" s="161"/>
      <c r="I213" s="146"/>
      <c r="J213" s="86"/>
      <c r="K213" s="90">
        <f t="shared" si="93"/>
      </c>
      <c r="L213" s="153">
        <f t="shared" si="100"/>
      </c>
      <c r="M213" s="153">
        <f t="shared" si="101"/>
      </c>
      <c r="N213" s="153">
        <f t="shared" si="102"/>
      </c>
      <c r="O213" s="86"/>
      <c r="P213" s="86"/>
      <c r="Q213" s="158"/>
    </row>
    <row r="214" spans="1:17" ht="15.75">
      <c r="A214" s="148">
        <f t="shared" si="96"/>
      </c>
      <c r="B214" s="149">
        <f t="shared" si="97"/>
      </c>
      <c r="C214" s="150">
        <f t="shared" si="94"/>
      </c>
      <c r="D214" s="149">
        <f t="shared" si="95"/>
      </c>
      <c r="E214" s="149">
        <f t="shared" si="98"/>
      </c>
      <c r="F214" s="151">
        <v>0</v>
      </c>
      <c r="G214" s="149">
        <f t="shared" si="99"/>
      </c>
      <c r="H214" s="161"/>
      <c r="I214" s="146"/>
      <c r="J214" s="86"/>
      <c r="K214" s="90">
        <f t="shared" si="93"/>
      </c>
      <c r="L214" s="153">
        <f t="shared" si="100"/>
      </c>
      <c r="M214" s="153">
        <f t="shared" si="101"/>
      </c>
      <c r="N214" s="153">
        <f t="shared" si="102"/>
      </c>
      <c r="O214" s="86"/>
      <c r="P214" s="86"/>
      <c r="Q214" s="158"/>
    </row>
    <row r="215" spans="1:17" ht="15.75">
      <c r="A215" s="148">
        <f t="shared" si="96"/>
      </c>
      <c r="B215" s="149">
        <f t="shared" si="97"/>
      </c>
      <c r="C215" s="150">
        <f t="shared" si="94"/>
      </c>
      <c r="D215" s="149">
        <f t="shared" si="95"/>
      </c>
      <c r="E215" s="149">
        <f t="shared" si="98"/>
      </c>
      <c r="F215" s="151">
        <v>0</v>
      </c>
      <c r="G215" s="149">
        <f t="shared" si="99"/>
      </c>
      <c r="H215" s="161"/>
      <c r="I215" s="146"/>
      <c r="J215" s="86"/>
      <c r="K215" s="90">
        <f t="shared" si="93"/>
      </c>
      <c r="L215" s="153">
        <f t="shared" si="100"/>
      </c>
      <c r="M215" s="153">
        <f t="shared" si="101"/>
      </c>
      <c r="N215" s="153">
        <f t="shared" si="102"/>
      </c>
      <c r="O215" s="86"/>
      <c r="P215" s="86"/>
      <c r="Q215" s="158"/>
    </row>
    <row r="216" spans="1:17" ht="15.75">
      <c r="A216" s="148">
        <f t="shared" si="96"/>
      </c>
      <c r="B216" s="149">
        <f t="shared" si="97"/>
      </c>
      <c r="C216" s="150">
        <f t="shared" si="94"/>
      </c>
      <c r="D216" s="149">
        <f t="shared" si="95"/>
      </c>
      <c r="E216" s="149">
        <f t="shared" si="98"/>
      </c>
      <c r="F216" s="151">
        <v>0</v>
      </c>
      <c r="G216" s="149">
        <f t="shared" si="99"/>
      </c>
      <c r="H216" s="161"/>
      <c r="I216" s="146"/>
      <c r="J216" s="86"/>
      <c r="K216" s="90">
        <f t="shared" si="93"/>
      </c>
      <c r="L216" s="153">
        <f t="shared" si="100"/>
      </c>
      <c r="M216" s="153">
        <f t="shared" si="101"/>
      </c>
      <c r="N216" s="153">
        <f t="shared" si="102"/>
      </c>
      <c r="O216" s="86"/>
      <c r="P216" s="86"/>
      <c r="Q216" s="158"/>
    </row>
    <row r="217" spans="1:17" ht="15.75">
      <c r="A217" s="148">
        <f t="shared" si="96"/>
      </c>
      <c r="B217" s="149">
        <f t="shared" si="97"/>
      </c>
      <c r="C217" s="150">
        <f t="shared" si="94"/>
      </c>
      <c r="D217" s="149">
        <f t="shared" si="95"/>
      </c>
      <c r="E217" s="149">
        <f t="shared" si="98"/>
      </c>
      <c r="F217" s="151">
        <v>0</v>
      </c>
      <c r="G217" s="149">
        <f t="shared" si="99"/>
      </c>
      <c r="H217" s="161"/>
      <c r="I217" s="146"/>
      <c r="J217" s="86"/>
      <c r="K217" s="90">
        <f t="shared" si="93"/>
      </c>
      <c r="L217" s="153">
        <f t="shared" si="100"/>
      </c>
      <c r="M217" s="153">
        <f t="shared" si="101"/>
      </c>
      <c r="N217" s="153">
        <f t="shared" si="102"/>
      </c>
      <c r="O217" s="86"/>
      <c r="P217" s="86"/>
      <c r="Q217" s="158"/>
    </row>
    <row r="218" spans="1:17" ht="15.75">
      <c r="A218" s="148">
        <f t="shared" si="96"/>
      </c>
      <c r="B218" s="149">
        <f t="shared" si="97"/>
      </c>
      <c r="C218" s="150">
        <f t="shared" si="94"/>
      </c>
      <c r="D218" s="149">
        <f t="shared" si="95"/>
      </c>
      <c r="E218" s="149">
        <f t="shared" si="98"/>
      </c>
      <c r="F218" s="151">
        <v>0</v>
      </c>
      <c r="G218" s="149">
        <f t="shared" si="99"/>
      </c>
      <c r="H218" s="161"/>
      <c r="I218" s="146"/>
      <c r="J218" s="86"/>
      <c r="K218" s="90">
        <f t="shared" si="93"/>
      </c>
      <c r="L218" s="153">
        <f t="shared" si="100"/>
      </c>
      <c r="M218" s="153">
        <f t="shared" si="101"/>
      </c>
      <c r="N218" s="153">
        <f t="shared" si="102"/>
      </c>
      <c r="O218" s="86"/>
      <c r="P218" s="86"/>
      <c r="Q218" s="158"/>
    </row>
    <row r="219" spans="1:17" ht="15.75">
      <c r="A219" s="148">
        <f t="shared" si="96"/>
      </c>
      <c r="B219" s="149">
        <f t="shared" si="97"/>
      </c>
      <c r="C219" s="150">
        <f t="shared" si="94"/>
      </c>
      <c r="D219" s="149">
        <f t="shared" si="95"/>
      </c>
      <c r="E219" s="149">
        <f t="shared" si="98"/>
      </c>
      <c r="F219" s="151">
        <v>0</v>
      </c>
      <c r="G219" s="149">
        <f t="shared" si="99"/>
      </c>
      <c r="H219" s="161"/>
      <c r="I219" s="146"/>
      <c r="J219" s="86"/>
      <c r="K219" s="90">
        <f t="shared" si="93"/>
      </c>
      <c r="L219" s="153">
        <f t="shared" si="100"/>
      </c>
      <c r="M219" s="153">
        <f t="shared" si="101"/>
      </c>
      <c r="N219" s="153">
        <f t="shared" si="102"/>
      </c>
      <c r="O219" s="86"/>
      <c r="P219" s="86"/>
      <c r="Q219" s="158"/>
    </row>
    <row r="220" spans="1:17" ht="15.75">
      <c r="A220" s="148">
        <f t="shared" si="96"/>
      </c>
      <c r="B220" s="149">
        <f t="shared" si="97"/>
      </c>
      <c r="C220" s="150">
        <f t="shared" si="94"/>
      </c>
      <c r="D220" s="149">
        <f t="shared" si="95"/>
      </c>
      <c r="E220" s="149">
        <f t="shared" si="98"/>
      </c>
      <c r="F220" s="151">
        <v>0</v>
      </c>
      <c r="G220" s="149">
        <f t="shared" si="99"/>
      </c>
      <c r="H220" s="161"/>
      <c r="I220" s="146"/>
      <c r="J220" s="86"/>
      <c r="K220" s="90">
        <f t="shared" si="93"/>
      </c>
      <c r="L220" s="153">
        <f t="shared" si="100"/>
      </c>
      <c r="M220" s="153">
        <f t="shared" si="101"/>
      </c>
      <c r="N220" s="153">
        <f t="shared" si="102"/>
      </c>
      <c r="O220" s="86"/>
      <c r="P220" s="86"/>
      <c r="Q220" s="158"/>
    </row>
    <row r="221" spans="1:17" ht="15.75">
      <c r="A221" s="148">
        <f t="shared" si="96"/>
      </c>
      <c r="B221" s="149">
        <f t="shared" si="97"/>
      </c>
      <c r="C221" s="150">
        <f t="shared" si="94"/>
      </c>
      <c r="D221" s="149">
        <f t="shared" si="95"/>
      </c>
      <c r="E221" s="149">
        <f t="shared" si="98"/>
      </c>
      <c r="F221" s="151">
        <v>0</v>
      </c>
      <c r="G221" s="149">
        <f t="shared" si="99"/>
      </c>
      <c r="H221" s="161"/>
      <c r="I221" s="146"/>
      <c r="J221" s="86"/>
      <c r="K221" s="90">
        <f t="shared" si="93"/>
      </c>
      <c r="L221" s="153">
        <f t="shared" si="100"/>
      </c>
      <c r="M221" s="153">
        <f t="shared" si="101"/>
      </c>
      <c r="N221" s="153">
        <f t="shared" si="102"/>
      </c>
      <c r="O221" s="86"/>
      <c r="P221" s="86"/>
      <c r="Q221" s="158"/>
    </row>
    <row r="222" spans="1:17" ht="15.75">
      <c r="A222" s="148">
        <f t="shared" si="96"/>
      </c>
      <c r="B222" s="149">
        <f t="shared" si="97"/>
      </c>
      <c r="C222" s="150">
        <f t="shared" si="94"/>
      </c>
      <c r="D222" s="149">
        <f t="shared" si="95"/>
      </c>
      <c r="E222" s="149">
        <f t="shared" si="98"/>
      </c>
      <c r="F222" s="151">
        <v>0</v>
      </c>
      <c r="G222" s="149">
        <f t="shared" si="99"/>
      </c>
      <c r="H222" s="161"/>
      <c r="I222" s="146"/>
      <c r="J222" s="86"/>
      <c r="K222" s="90">
        <f t="shared" si="93"/>
      </c>
      <c r="L222" s="153">
        <f t="shared" si="100"/>
      </c>
      <c r="M222" s="153">
        <f t="shared" si="101"/>
      </c>
      <c r="N222" s="153">
        <f t="shared" si="102"/>
      </c>
      <c r="O222" s="86"/>
      <c r="P222" s="86"/>
      <c r="Q222" s="158"/>
    </row>
    <row r="223" spans="1:17" ht="15.75">
      <c r="A223" s="148">
        <f t="shared" si="96"/>
      </c>
      <c r="B223" s="149">
        <f t="shared" si="97"/>
      </c>
      <c r="C223" s="150">
        <f t="shared" si="94"/>
      </c>
      <c r="D223" s="149">
        <f t="shared" si="95"/>
      </c>
      <c r="E223" s="149">
        <f t="shared" si="98"/>
      </c>
      <c r="F223" s="151">
        <v>0</v>
      </c>
      <c r="G223" s="149">
        <f t="shared" si="99"/>
      </c>
      <c r="H223" s="161"/>
      <c r="I223" s="146"/>
      <c r="J223" s="86"/>
      <c r="K223" s="90">
        <f t="shared" si="93"/>
      </c>
      <c r="L223" s="153">
        <f t="shared" si="100"/>
      </c>
      <c r="M223" s="153">
        <f t="shared" si="101"/>
      </c>
      <c r="N223" s="153">
        <f t="shared" si="102"/>
      </c>
      <c r="O223" s="86"/>
      <c r="P223" s="86"/>
      <c r="Q223" s="158"/>
    </row>
    <row r="224" spans="1:17" ht="15.75">
      <c r="A224" s="148">
        <f aca="true" t="shared" si="103" ref="A224:A239">IF(G223=0,"",1+A223)</f>
      </c>
      <c r="B224" s="149">
        <f aca="true" t="shared" si="104" ref="B224:B239">IF(G223=0,"",ROUND(G223,2))</f>
      </c>
      <c r="C224" s="150">
        <f t="shared" si="94"/>
      </c>
      <c r="D224" s="149">
        <f t="shared" si="95"/>
      </c>
      <c r="E224" s="149">
        <f aca="true" t="shared" si="105" ref="E224:E239">IF(G223=0,"",C224-D224+F224)</f>
      </c>
      <c r="F224" s="151">
        <v>0</v>
      </c>
      <c r="G224" s="149">
        <f aca="true" t="shared" si="106" ref="G224:G239">IF(G223=0,"",ROUND(B224-E224,2))</f>
      </c>
      <c r="H224" s="161"/>
      <c r="I224" s="146"/>
      <c r="J224" s="86"/>
      <c r="K224" s="90">
        <f t="shared" si="93"/>
      </c>
      <c r="L224" s="153">
        <f aca="true" t="shared" si="107" ref="L224:L239">IF(G223=0,"",C224+F224+L223)</f>
      </c>
      <c r="M224" s="153">
        <f aca="true" t="shared" si="108" ref="M224:M239">IF(G223=0,"",M223+D224)</f>
      </c>
      <c r="N224" s="153">
        <f aca="true" t="shared" si="109" ref="N224:N239">IF(G223=0,"",L224-M224)</f>
      </c>
      <c r="O224" s="86"/>
      <c r="P224" s="86"/>
      <c r="Q224" s="158"/>
    </row>
    <row r="225" spans="1:17" ht="15.75">
      <c r="A225" s="148">
        <f t="shared" si="103"/>
      </c>
      <c r="B225" s="149">
        <f t="shared" si="104"/>
      </c>
      <c r="C225" s="150">
        <f t="shared" si="94"/>
      </c>
      <c r="D225" s="149">
        <f t="shared" si="95"/>
      </c>
      <c r="E225" s="149">
        <f t="shared" si="105"/>
      </c>
      <c r="F225" s="151">
        <v>0</v>
      </c>
      <c r="G225" s="149">
        <f t="shared" si="106"/>
      </c>
      <c r="H225" s="161"/>
      <c r="I225" s="146"/>
      <c r="J225" s="86"/>
      <c r="K225" s="90">
        <f t="shared" si="93"/>
      </c>
      <c r="L225" s="153">
        <f t="shared" si="107"/>
      </c>
      <c r="M225" s="153">
        <f t="shared" si="108"/>
      </c>
      <c r="N225" s="153">
        <f t="shared" si="109"/>
      </c>
      <c r="O225" s="86"/>
      <c r="P225" s="86"/>
      <c r="Q225" s="158"/>
    </row>
    <row r="226" spans="1:17" ht="15.75">
      <c r="A226" s="148">
        <f t="shared" si="103"/>
      </c>
      <c r="B226" s="149">
        <f t="shared" si="104"/>
      </c>
      <c r="C226" s="150">
        <f t="shared" si="94"/>
      </c>
      <c r="D226" s="149">
        <f t="shared" si="95"/>
      </c>
      <c r="E226" s="149">
        <f t="shared" si="105"/>
      </c>
      <c r="F226" s="151">
        <v>0</v>
      </c>
      <c r="G226" s="149">
        <f t="shared" si="106"/>
      </c>
      <c r="H226" s="161"/>
      <c r="I226" s="146"/>
      <c r="J226" s="86"/>
      <c r="K226" s="90">
        <f t="shared" si="93"/>
      </c>
      <c r="L226" s="153">
        <f t="shared" si="107"/>
      </c>
      <c r="M226" s="153">
        <f t="shared" si="108"/>
      </c>
      <c r="N226" s="153">
        <f t="shared" si="109"/>
      </c>
      <c r="O226" s="86"/>
      <c r="P226" s="86"/>
      <c r="Q226" s="158"/>
    </row>
    <row r="227" spans="1:17" ht="15.75">
      <c r="A227" s="148">
        <f t="shared" si="103"/>
      </c>
      <c r="B227" s="149">
        <f t="shared" si="104"/>
      </c>
      <c r="C227" s="150">
        <f t="shared" si="94"/>
      </c>
      <c r="D227" s="149">
        <f t="shared" si="95"/>
      </c>
      <c r="E227" s="149">
        <f t="shared" si="105"/>
      </c>
      <c r="F227" s="151">
        <v>0</v>
      </c>
      <c r="G227" s="149">
        <f t="shared" si="106"/>
      </c>
      <c r="H227" s="161"/>
      <c r="I227" s="146"/>
      <c r="J227" s="86"/>
      <c r="K227" s="90">
        <f t="shared" si="93"/>
      </c>
      <c r="L227" s="153">
        <f t="shared" si="107"/>
      </c>
      <c r="M227" s="153">
        <f t="shared" si="108"/>
      </c>
      <c r="N227" s="153">
        <f t="shared" si="109"/>
      </c>
      <c r="O227" s="86"/>
      <c r="P227" s="86"/>
      <c r="Q227" s="158"/>
    </row>
    <row r="228" spans="1:17" ht="15.75">
      <c r="A228" s="148">
        <f t="shared" si="103"/>
      </c>
      <c r="B228" s="149">
        <f t="shared" si="104"/>
      </c>
      <c r="C228" s="150">
        <f t="shared" si="94"/>
      </c>
      <c r="D228" s="149">
        <f t="shared" si="95"/>
      </c>
      <c r="E228" s="149">
        <f t="shared" si="105"/>
      </c>
      <c r="F228" s="151">
        <v>0</v>
      </c>
      <c r="G228" s="149">
        <f t="shared" si="106"/>
      </c>
      <c r="H228" s="161"/>
      <c r="I228" s="146"/>
      <c r="J228" s="86"/>
      <c r="K228" s="90">
        <f t="shared" si="93"/>
      </c>
      <c r="L228" s="153">
        <f t="shared" si="107"/>
      </c>
      <c r="M228" s="153">
        <f t="shared" si="108"/>
      </c>
      <c r="N228" s="153">
        <f t="shared" si="109"/>
      </c>
      <c r="O228" s="86"/>
      <c r="P228" s="86"/>
      <c r="Q228" s="158"/>
    </row>
    <row r="229" spans="1:17" ht="15.75">
      <c r="A229" s="148">
        <f t="shared" si="103"/>
      </c>
      <c r="B229" s="149">
        <f t="shared" si="104"/>
      </c>
      <c r="C229" s="150">
        <f t="shared" si="94"/>
      </c>
      <c r="D229" s="149">
        <f t="shared" si="95"/>
      </c>
      <c r="E229" s="149">
        <f t="shared" si="105"/>
      </c>
      <c r="F229" s="151">
        <v>0</v>
      </c>
      <c r="G229" s="149">
        <f t="shared" si="106"/>
      </c>
      <c r="H229" s="161"/>
      <c r="I229" s="146"/>
      <c r="J229" s="86"/>
      <c r="K229" s="90">
        <f t="shared" si="93"/>
      </c>
      <c r="L229" s="153">
        <f t="shared" si="107"/>
      </c>
      <c r="M229" s="153">
        <f t="shared" si="108"/>
      </c>
      <c r="N229" s="153">
        <f t="shared" si="109"/>
      </c>
      <c r="O229" s="86"/>
      <c r="P229" s="86"/>
      <c r="Q229" s="158"/>
    </row>
    <row r="230" spans="1:17" ht="15.75">
      <c r="A230" s="148">
        <f t="shared" si="103"/>
      </c>
      <c r="B230" s="149">
        <f t="shared" si="104"/>
      </c>
      <c r="C230" s="150">
        <f t="shared" si="94"/>
      </c>
      <c r="D230" s="149">
        <f t="shared" si="95"/>
      </c>
      <c r="E230" s="149">
        <f t="shared" si="105"/>
      </c>
      <c r="F230" s="151">
        <v>0</v>
      </c>
      <c r="G230" s="149">
        <f t="shared" si="106"/>
      </c>
      <c r="H230" s="161"/>
      <c r="I230" s="146"/>
      <c r="J230" s="86"/>
      <c r="K230" s="90">
        <f t="shared" si="93"/>
      </c>
      <c r="L230" s="153">
        <f t="shared" si="107"/>
      </c>
      <c r="M230" s="153">
        <f t="shared" si="108"/>
      </c>
      <c r="N230" s="153">
        <f t="shared" si="109"/>
      </c>
      <c r="O230" s="86"/>
      <c r="P230" s="86"/>
      <c r="Q230" s="158"/>
    </row>
    <row r="231" spans="1:17" ht="15.75">
      <c r="A231" s="148">
        <f t="shared" si="103"/>
      </c>
      <c r="B231" s="149">
        <f t="shared" si="104"/>
      </c>
      <c r="C231" s="150">
        <f t="shared" si="94"/>
      </c>
      <c r="D231" s="149">
        <f t="shared" si="95"/>
      </c>
      <c r="E231" s="149">
        <f t="shared" si="105"/>
      </c>
      <c r="F231" s="151">
        <v>0</v>
      </c>
      <c r="G231" s="149">
        <f t="shared" si="106"/>
      </c>
      <c r="H231" s="161"/>
      <c r="I231" s="146"/>
      <c r="J231" s="86"/>
      <c r="K231" s="90">
        <f t="shared" si="93"/>
      </c>
      <c r="L231" s="153">
        <f t="shared" si="107"/>
      </c>
      <c r="M231" s="153">
        <f t="shared" si="108"/>
      </c>
      <c r="N231" s="153">
        <f t="shared" si="109"/>
      </c>
      <c r="O231" s="86"/>
      <c r="P231" s="86"/>
      <c r="Q231" s="158"/>
    </row>
    <row r="232" spans="1:17" ht="15.75">
      <c r="A232" s="148">
        <f t="shared" si="103"/>
      </c>
      <c r="B232" s="149">
        <f t="shared" si="104"/>
      </c>
      <c r="C232" s="150">
        <f t="shared" si="94"/>
      </c>
      <c r="D232" s="149">
        <f t="shared" si="95"/>
      </c>
      <c r="E232" s="149">
        <f t="shared" si="105"/>
      </c>
      <c r="F232" s="151">
        <v>0</v>
      </c>
      <c r="G232" s="149">
        <f t="shared" si="106"/>
      </c>
      <c r="H232" s="161"/>
      <c r="I232" s="146"/>
      <c r="J232" s="86"/>
      <c r="K232" s="90">
        <f t="shared" si="93"/>
      </c>
      <c r="L232" s="153">
        <f t="shared" si="107"/>
      </c>
      <c r="M232" s="153">
        <f t="shared" si="108"/>
      </c>
      <c r="N232" s="153">
        <f t="shared" si="109"/>
      </c>
      <c r="O232" s="86"/>
      <c r="P232" s="86"/>
      <c r="Q232" s="158"/>
    </row>
    <row r="233" spans="1:17" ht="15.75">
      <c r="A233" s="148">
        <f t="shared" si="103"/>
      </c>
      <c r="B233" s="149">
        <f t="shared" si="104"/>
      </c>
      <c r="C233" s="150">
        <f t="shared" si="94"/>
      </c>
      <c r="D233" s="149">
        <f t="shared" si="95"/>
      </c>
      <c r="E233" s="149">
        <f t="shared" si="105"/>
      </c>
      <c r="F233" s="151">
        <v>0</v>
      </c>
      <c r="G233" s="149">
        <f t="shared" si="106"/>
      </c>
      <c r="H233" s="161"/>
      <c r="I233" s="146"/>
      <c r="J233" s="86"/>
      <c r="K233" s="90">
        <f t="shared" si="93"/>
      </c>
      <c r="L233" s="153">
        <f t="shared" si="107"/>
      </c>
      <c r="M233" s="153">
        <f t="shared" si="108"/>
      </c>
      <c r="N233" s="153">
        <f t="shared" si="109"/>
      </c>
      <c r="O233" s="86"/>
      <c r="P233" s="86"/>
      <c r="Q233" s="158"/>
    </row>
    <row r="234" spans="1:17" ht="15.75">
      <c r="A234" s="148">
        <f t="shared" si="103"/>
      </c>
      <c r="B234" s="149">
        <f t="shared" si="104"/>
      </c>
      <c r="C234" s="150">
        <f t="shared" si="94"/>
      </c>
      <c r="D234" s="149">
        <f t="shared" si="95"/>
      </c>
      <c r="E234" s="149">
        <f t="shared" si="105"/>
      </c>
      <c r="F234" s="151">
        <v>0</v>
      </c>
      <c r="G234" s="149">
        <f t="shared" si="106"/>
      </c>
      <c r="H234" s="161"/>
      <c r="I234" s="146"/>
      <c r="J234" s="86"/>
      <c r="K234" s="90">
        <f t="shared" si="93"/>
      </c>
      <c r="L234" s="153">
        <f t="shared" si="107"/>
      </c>
      <c r="M234" s="153">
        <f t="shared" si="108"/>
      </c>
      <c r="N234" s="153">
        <f t="shared" si="109"/>
      </c>
      <c r="O234" s="86"/>
      <c r="P234" s="86"/>
      <c r="Q234" s="158"/>
    </row>
    <row r="235" spans="1:17" ht="15.75">
      <c r="A235" s="148">
        <f t="shared" si="103"/>
      </c>
      <c r="B235" s="149">
        <f t="shared" si="104"/>
      </c>
      <c r="C235" s="150">
        <f t="shared" si="94"/>
      </c>
      <c r="D235" s="149">
        <f t="shared" si="95"/>
      </c>
      <c r="E235" s="149">
        <f t="shared" si="105"/>
      </c>
      <c r="F235" s="151">
        <v>0</v>
      </c>
      <c r="G235" s="149">
        <f t="shared" si="106"/>
      </c>
      <c r="H235" s="161"/>
      <c r="I235" s="146"/>
      <c r="J235" s="86"/>
      <c r="K235" s="90">
        <f t="shared" si="93"/>
      </c>
      <c r="L235" s="153">
        <f t="shared" si="107"/>
      </c>
      <c r="M235" s="153">
        <f t="shared" si="108"/>
      </c>
      <c r="N235" s="153">
        <f t="shared" si="109"/>
      </c>
      <c r="O235" s="86"/>
      <c r="P235" s="86"/>
      <c r="Q235" s="158"/>
    </row>
    <row r="236" spans="1:17" ht="15.75">
      <c r="A236" s="148">
        <f t="shared" si="103"/>
      </c>
      <c r="B236" s="149">
        <f t="shared" si="104"/>
      </c>
      <c r="C236" s="150">
        <f t="shared" si="94"/>
      </c>
      <c r="D236" s="149">
        <f t="shared" si="95"/>
      </c>
      <c r="E236" s="149">
        <f t="shared" si="105"/>
      </c>
      <c r="F236" s="151">
        <v>0</v>
      </c>
      <c r="G236" s="149">
        <f t="shared" si="106"/>
      </c>
      <c r="H236" s="161"/>
      <c r="I236" s="146"/>
      <c r="J236" s="86"/>
      <c r="K236" s="90">
        <f t="shared" si="93"/>
      </c>
      <c r="L236" s="153">
        <f t="shared" si="107"/>
      </c>
      <c r="M236" s="153">
        <f t="shared" si="108"/>
      </c>
      <c r="N236" s="153">
        <f t="shared" si="109"/>
      </c>
      <c r="O236" s="86"/>
      <c r="P236" s="86"/>
      <c r="Q236" s="158"/>
    </row>
    <row r="237" spans="1:17" ht="15.75">
      <c r="A237" s="148">
        <f t="shared" si="103"/>
      </c>
      <c r="B237" s="149">
        <f t="shared" si="104"/>
      </c>
      <c r="C237" s="150">
        <f t="shared" si="94"/>
      </c>
      <c r="D237" s="149">
        <f t="shared" si="95"/>
      </c>
      <c r="E237" s="149">
        <f t="shared" si="105"/>
      </c>
      <c r="F237" s="151">
        <v>0</v>
      </c>
      <c r="G237" s="149">
        <f t="shared" si="106"/>
      </c>
      <c r="H237" s="161"/>
      <c r="I237" s="146"/>
      <c r="J237" s="86"/>
      <c r="K237" s="90">
        <f t="shared" si="93"/>
      </c>
      <c r="L237" s="153">
        <f t="shared" si="107"/>
      </c>
      <c r="M237" s="153">
        <f t="shared" si="108"/>
      </c>
      <c r="N237" s="153">
        <f t="shared" si="109"/>
      </c>
      <c r="O237" s="86"/>
      <c r="P237" s="86"/>
      <c r="Q237" s="158"/>
    </row>
    <row r="238" spans="1:17" ht="15.75">
      <c r="A238" s="148">
        <f t="shared" si="103"/>
      </c>
      <c r="B238" s="149">
        <f t="shared" si="104"/>
      </c>
      <c r="C238" s="150">
        <f t="shared" si="94"/>
      </c>
      <c r="D238" s="149">
        <f t="shared" si="95"/>
      </c>
      <c r="E238" s="149">
        <f t="shared" si="105"/>
      </c>
      <c r="F238" s="151">
        <v>0</v>
      </c>
      <c r="G238" s="149">
        <f t="shared" si="106"/>
      </c>
      <c r="H238" s="161"/>
      <c r="I238" s="146"/>
      <c r="J238" s="86"/>
      <c r="K238" s="90">
        <f t="shared" si="93"/>
      </c>
      <c r="L238" s="153">
        <f t="shared" si="107"/>
      </c>
      <c r="M238" s="153">
        <f t="shared" si="108"/>
      </c>
      <c r="N238" s="153">
        <f t="shared" si="109"/>
      </c>
      <c r="O238" s="86"/>
      <c r="P238" s="86"/>
      <c r="Q238" s="158"/>
    </row>
    <row r="239" spans="1:17" ht="15.75">
      <c r="A239" s="148">
        <f t="shared" si="103"/>
      </c>
      <c r="B239" s="149">
        <f t="shared" si="104"/>
      </c>
      <c r="C239" s="150">
        <f t="shared" si="94"/>
      </c>
      <c r="D239" s="149">
        <f t="shared" si="95"/>
      </c>
      <c r="E239" s="149">
        <f t="shared" si="105"/>
      </c>
      <c r="F239" s="151">
        <v>0</v>
      </c>
      <c r="G239" s="149">
        <f t="shared" si="106"/>
      </c>
      <c r="H239" s="161"/>
      <c r="I239" s="146"/>
      <c r="J239" s="86"/>
      <c r="K239" s="90">
        <f t="shared" si="93"/>
      </c>
      <c r="L239" s="153">
        <f t="shared" si="107"/>
      </c>
      <c r="M239" s="153">
        <f t="shared" si="108"/>
      </c>
      <c r="N239" s="153">
        <f t="shared" si="109"/>
      </c>
      <c r="O239" s="86"/>
      <c r="P239" s="86"/>
      <c r="Q239" s="158"/>
    </row>
    <row r="240" spans="1:17" ht="15.75">
      <c r="A240" s="148">
        <f aca="true" t="shared" si="110" ref="A240:A255">IF(G239=0,"",1+A239)</f>
      </c>
      <c r="B240" s="149">
        <f aca="true" t="shared" si="111" ref="B240:B255">IF(G239=0,"",ROUND(G239,2))</f>
      </c>
      <c r="C240" s="150">
        <f t="shared" si="94"/>
      </c>
      <c r="D240" s="149">
        <f t="shared" si="95"/>
      </c>
      <c r="E240" s="149">
        <f aca="true" t="shared" si="112" ref="E240:E255">IF(G239=0,"",C240-D240+F240)</f>
      </c>
      <c r="F240" s="151">
        <v>0</v>
      </c>
      <c r="G240" s="149">
        <f aca="true" t="shared" si="113" ref="G240:G255">IF(G239=0,"",ROUND(B240-E240,2))</f>
      </c>
      <c r="H240" s="161"/>
      <c r="I240" s="146"/>
      <c r="J240" s="86"/>
      <c r="K240" s="90">
        <f t="shared" si="93"/>
      </c>
      <c r="L240" s="153">
        <f aca="true" t="shared" si="114" ref="L240:L255">IF(G239=0,"",C240+F240+L239)</f>
      </c>
      <c r="M240" s="153">
        <f aca="true" t="shared" si="115" ref="M240:M255">IF(G239=0,"",M239+D240)</f>
      </c>
      <c r="N240" s="153">
        <f aca="true" t="shared" si="116" ref="N240:N255">IF(G239=0,"",L240-M240)</f>
      </c>
      <c r="O240" s="86"/>
      <c r="P240" s="86"/>
      <c r="Q240" s="158"/>
    </row>
    <row r="241" spans="1:17" ht="15.75">
      <c r="A241" s="148">
        <f t="shared" si="110"/>
      </c>
      <c r="B241" s="149">
        <f t="shared" si="111"/>
      </c>
      <c r="C241" s="150">
        <f t="shared" si="94"/>
      </c>
      <c r="D241" s="149">
        <f t="shared" si="95"/>
      </c>
      <c r="E241" s="149">
        <f t="shared" si="112"/>
      </c>
      <c r="F241" s="151">
        <v>0</v>
      </c>
      <c r="G241" s="149">
        <f t="shared" si="113"/>
      </c>
      <c r="H241" s="161"/>
      <c r="I241" s="146"/>
      <c r="J241" s="86"/>
      <c r="K241" s="90">
        <f t="shared" si="93"/>
      </c>
      <c r="L241" s="153">
        <f t="shared" si="114"/>
      </c>
      <c r="M241" s="153">
        <f t="shared" si="115"/>
      </c>
      <c r="N241" s="153">
        <f t="shared" si="116"/>
      </c>
      <c r="O241" s="86"/>
      <c r="P241" s="86"/>
      <c r="Q241" s="158"/>
    </row>
    <row r="242" spans="1:17" ht="15.75">
      <c r="A242" s="148">
        <f t="shared" si="110"/>
      </c>
      <c r="B242" s="149">
        <f t="shared" si="111"/>
      </c>
      <c r="C242" s="150">
        <f t="shared" si="94"/>
      </c>
      <c r="D242" s="149">
        <f t="shared" si="95"/>
      </c>
      <c r="E242" s="149">
        <f t="shared" si="112"/>
      </c>
      <c r="F242" s="151">
        <v>0</v>
      </c>
      <c r="G242" s="149">
        <f t="shared" si="113"/>
      </c>
      <c r="H242" s="161"/>
      <c r="I242" s="146"/>
      <c r="J242" s="86"/>
      <c r="K242" s="90">
        <f t="shared" si="93"/>
      </c>
      <c r="L242" s="153">
        <f t="shared" si="114"/>
      </c>
      <c r="M242" s="153">
        <f t="shared" si="115"/>
      </c>
      <c r="N242" s="153">
        <f t="shared" si="116"/>
      </c>
      <c r="O242" s="86"/>
      <c r="P242" s="86"/>
      <c r="Q242" s="158"/>
    </row>
    <row r="243" spans="1:17" ht="15.75">
      <c r="A243" s="148">
        <f t="shared" si="110"/>
      </c>
      <c r="B243" s="149">
        <f t="shared" si="111"/>
      </c>
      <c r="C243" s="150">
        <f t="shared" si="94"/>
      </c>
      <c r="D243" s="149">
        <f t="shared" si="95"/>
      </c>
      <c r="E243" s="149">
        <f t="shared" si="112"/>
      </c>
      <c r="F243" s="151">
        <v>0</v>
      </c>
      <c r="G243" s="149">
        <f t="shared" si="113"/>
      </c>
      <c r="H243" s="161"/>
      <c r="I243" s="146"/>
      <c r="J243" s="86"/>
      <c r="K243" s="90">
        <f t="shared" si="93"/>
      </c>
      <c r="L243" s="153">
        <f t="shared" si="114"/>
      </c>
      <c r="M243" s="153">
        <f t="shared" si="115"/>
      </c>
      <c r="N243" s="153">
        <f t="shared" si="116"/>
      </c>
      <c r="O243" s="86"/>
      <c r="P243" s="86"/>
      <c r="Q243" s="158"/>
    </row>
    <row r="244" spans="1:17" ht="15.75">
      <c r="A244" s="148">
        <f t="shared" si="110"/>
      </c>
      <c r="B244" s="149">
        <f t="shared" si="111"/>
      </c>
      <c r="C244" s="150">
        <f t="shared" si="94"/>
      </c>
      <c r="D244" s="149">
        <f t="shared" si="95"/>
      </c>
      <c r="E244" s="149">
        <f t="shared" si="112"/>
      </c>
      <c r="F244" s="151">
        <v>0</v>
      </c>
      <c r="G244" s="149">
        <f t="shared" si="113"/>
      </c>
      <c r="H244" s="161"/>
      <c r="I244" s="146"/>
      <c r="J244" s="86"/>
      <c r="K244" s="90">
        <f t="shared" si="93"/>
      </c>
      <c r="L244" s="153">
        <f t="shared" si="114"/>
      </c>
      <c r="M244" s="153">
        <f t="shared" si="115"/>
      </c>
      <c r="N244" s="153">
        <f t="shared" si="116"/>
      </c>
      <c r="O244" s="86"/>
      <c r="P244" s="86"/>
      <c r="Q244" s="158"/>
    </row>
    <row r="245" spans="1:17" ht="15.75">
      <c r="A245" s="148">
        <f t="shared" si="110"/>
      </c>
      <c r="B245" s="149">
        <f t="shared" si="111"/>
      </c>
      <c r="C245" s="150">
        <f t="shared" si="94"/>
      </c>
      <c r="D245" s="149">
        <f t="shared" si="95"/>
      </c>
      <c r="E245" s="149">
        <f t="shared" si="112"/>
      </c>
      <c r="F245" s="151">
        <v>0</v>
      </c>
      <c r="G245" s="149">
        <f t="shared" si="113"/>
      </c>
      <c r="H245" s="161"/>
      <c r="I245" s="146"/>
      <c r="J245" s="86"/>
      <c r="K245" s="90">
        <f t="shared" si="93"/>
      </c>
      <c r="L245" s="153">
        <f t="shared" si="114"/>
      </c>
      <c r="M245" s="153">
        <f t="shared" si="115"/>
      </c>
      <c r="N245" s="153">
        <f t="shared" si="116"/>
      </c>
      <c r="O245" s="86"/>
      <c r="P245" s="86"/>
      <c r="Q245" s="158"/>
    </row>
    <row r="246" spans="1:17" ht="15.75">
      <c r="A246" s="148">
        <f t="shared" si="110"/>
      </c>
      <c r="B246" s="149">
        <f t="shared" si="111"/>
      </c>
      <c r="C246" s="150">
        <f t="shared" si="94"/>
      </c>
      <c r="D246" s="149">
        <f t="shared" si="95"/>
      </c>
      <c r="E246" s="149">
        <f t="shared" si="112"/>
      </c>
      <c r="F246" s="151">
        <v>0</v>
      </c>
      <c r="G246" s="149">
        <f t="shared" si="113"/>
      </c>
      <c r="H246" s="161"/>
      <c r="I246" s="146"/>
      <c r="J246" s="86"/>
      <c r="K246" s="90">
        <f t="shared" si="93"/>
      </c>
      <c r="L246" s="153">
        <f t="shared" si="114"/>
      </c>
      <c r="M246" s="153">
        <f t="shared" si="115"/>
      </c>
      <c r="N246" s="153">
        <f t="shared" si="116"/>
      </c>
      <c r="O246" s="86"/>
      <c r="P246" s="86"/>
      <c r="Q246" s="158"/>
    </row>
    <row r="247" spans="1:17" ht="15.75">
      <c r="A247" s="148">
        <f t="shared" si="110"/>
      </c>
      <c r="B247" s="149">
        <f t="shared" si="111"/>
      </c>
      <c r="C247" s="150">
        <f t="shared" si="94"/>
      </c>
      <c r="D247" s="149">
        <f t="shared" si="95"/>
      </c>
      <c r="E247" s="149">
        <f t="shared" si="112"/>
      </c>
      <c r="F247" s="151">
        <v>0</v>
      </c>
      <c r="G247" s="149">
        <f t="shared" si="113"/>
      </c>
      <c r="H247" s="161"/>
      <c r="I247" s="146"/>
      <c r="J247" s="86"/>
      <c r="K247" s="90">
        <f t="shared" si="93"/>
      </c>
      <c r="L247" s="153">
        <f t="shared" si="114"/>
      </c>
      <c r="M247" s="153">
        <f t="shared" si="115"/>
      </c>
      <c r="N247" s="153">
        <f t="shared" si="116"/>
      </c>
      <c r="O247" s="86"/>
      <c r="P247" s="86"/>
      <c r="Q247" s="158"/>
    </row>
    <row r="248" spans="1:17" ht="15.75">
      <c r="A248" s="148">
        <f t="shared" si="110"/>
      </c>
      <c r="B248" s="149">
        <f t="shared" si="111"/>
      </c>
      <c r="C248" s="150">
        <f t="shared" si="94"/>
      </c>
      <c r="D248" s="149">
        <f t="shared" si="95"/>
      </c>
      <c r="E248" s="149">
        <f t="shared" si="112"/>
      </c>
      <c r="F248" s="151">
        <v>0</v>
      </c>
      <c r="G248" s="149">
        <f t="shared" si="113"/>
      </c>
      <c r="H248" s="161"/>
      <c r="I248" s="146"/>
      <c r="J248" s="86"/>
      <c r="K248" s="90">
        <f t="shared" si="93"/>
      </c>
      <c r="L248" s="153">
        <f t="shared" si="114"/>
      </c>
      <c r="M248" s="153">
        <f t="shared" si="115"/>
      </c>
      <c r="N248" s="153">
        <f t="shared" si="116"/>
      </c>
      <c r="O248" s="86"/>
      <c r="P248" s="86"/>
      <c r="Q248" s="158"/>
    </row>
    <row r="249" spans="1:17" ht="15.75">
      <c r="A249" s="148">
        <f t="shared" si="110"/>
      </c>
      <c r="B249" s="149">
        <f t="shared" si="111"/>
      </c>
      <c r="C249" s="150">
        <f t="shared" si="94"/>
      </c>
      <c r="D249" s="149">
        <f t="shared" si="95"/>
      </c>
      <c r="E249" s="149">
        <f t="shared" si="112"/>
      </c>
      <c r="F249" s="151">
        <v>0</v>
      </c>
      <c r="G249" s="149">
        <f t="shared" si="113"/>
      </c>
      <c r="H249" s="161"/>
      <c r="I249" s="146"/>
      <c r="J249" s="86"/>
      <c r="K249" s="90">
        <f t="shared" si="93"/>
      </c>
      <c r="L249" s="153">
        <f t="shared" si="114"/>
      </c>
      <c r="M249" s="153">
        <f t="shared" si="115"/>
      </c>
      <c r="N249" s="153">
        <f t="shared" si="116"/>
      </c>
      <c r="O249" s="86"/>
      <c r="P249" s="86"/>
      <c r="Q249" s="158"/>
    </row>
    <row r="250" spans="1:17" ht="15.75">
      <c r="A250" s="148">
        <f t="shared" si="110"/>
      </c>
      <c r="B250" s="149">
        <f t="shared" si="111"/>
      </c>
      <c r="C250" s="150">
        <f t="shared" si="94"/>
      </c>
      <c r="D250" s="149">
        <f t="shared" si="95"/>
      </c>
      <c r="E250" s="149">
        <f t="shared" si="112"/>
      </c>
      <c r="F250" s="151">
        <v>0</v>
      </c>
      <c r="G250" s="149">
        <f t="shared" si="113"/>
      </c>
      <c r="H250" s="161"/>
      <c r="I250" s="146"/>
      <c r="J250" s="86"/>
      <c r="K250" s="90">
        <f t="shared" si="93"/>
      </c>
      <c r="L250" s="153">
        <f t="shared" si="114"/>
      </c>
      <c r="M250" s="153">
        <f t="shared" si="115"/>
      </c>
      <c r="N250" s="153">
        <f t="shared" si="116"/>
      </c>
      <c r="O250" s="86"/>
      <c r="P250" s="86"/>
      <c r="Q250" s="158"/>
    </row>
    <row r="251" spans="1:17" ht="15.75">
      <c r="A251" s="148">
        <f t="shared" si="110"/>
      </c>
      <c r="B251" s="149">
        <f t="shared" si="111"/>
      </c>
      <c r="C251" s="150">
        <f t="shared" si="94"/>
      </c>
      <c r="D251" s="149">
        <f t="shared" si="95"/>
      </c>
      <c r="E251" s="149">
        <f t="shared" si="112"/>
      </c>
      <c r="F251" s="151">
        <v>0</v>
      </c>
      <c r="G251" s="149">
        <f t="shared" si="113"/>
      </c>
      <c r="H251" s="161"/>
      <c r="I251" s="146"/>
      <c r="J251" s="86"/>
      <c r="K251" s="90">
        <f t="shared" si="93"/>
      </c>
      <c r="L251" s="153">
        <f t="shared" si="114"/>
      </c>
      <c r="M251" s="153">
        <f t="shared" si="115"/>
      </c>
      <c r="N251" s="153">
        <f t="shared" si="116"/>
      </c>
      <c r="O251" s="86"/>
      <c r="P251" s="86"/>
      <c r="Q251" s="158"/>
    </row>
    <row r="252" spans="1:17" ht="15.75">
      <c r="A252" s="148">
        <f t="shared" si="110"/>
      </c>
      <c r="B252" s="149">
        <f t="shared" si="111"/>
      </c>
      <c r="C252" s="150">
        <f t="shared" si="94"/>
      </c>
      <c r="D252" s="149">
        <f t="shared" si="95"/>
      </c>
      <c r="E252" s="149">
        <f t="shared" si="112"/>
      </c>
      <c r="F252" s="151">
        <v>0</v>
      </c>
      <c r="G252" s="149">
        <f t="shared" si="113"/>
      </c>
      <c r="H252" s="161"/>
      <c r="I252" s="146"/>
      <c r="J252" s="86"/>
      <c r="K252" s="90">
        <f t="shared" si="93"/>
      </c>
      <c r="L252" s="153">
        <f t="shared" si="114"/>
      </c>
      <c r="M252" s="153">
        <f t="shared" si="115"/>
      </c>
      <c r="N252" s="153">
        <f t="shared" si="116"/>
      </c>
      <c r="O252" s="86"/>
      <c r="P252" s="86"/>
      <c r="Q252" s="158"/>
    </row>
    <row r="253" spans="1:17" ht="15.75">
      <c r="A253" s="148">
        <f t="shared" si="110"/>
      </c>
      <c r="B253" s="149">
        <f t="shared" si="111"/>
      </c>
      <c r="C253" s="150">
        <f t="shared" si="94"/>
      </c>
      <c r="D253" s="149">
        <f t="shared" si="95"/>
      </c>
      <c r="E253" s="149">
        <f t="shared" si="112"/>
      </c>
      <c r="F253" s="151">
        <v>0</v>
      </c>
      <c r="G253" s="149">
        <f t="shared" si="113"/>
      </c>
      <c r="H253" s="161"/>
      <c r="I253" s="146"/>
      <c r="J253" s="86"/>
      <c r="K253" s="90">
        <f t="shared" si="93"/>
      </c>
      <c r="L253" s="153">
        <f t="shared" si="114"/>
      </c>
      <c r="M253" s="153">
        <f t="shared" si="115"/>
      </c>
      <c r="N253" s="153">
        <f t="shared" si="116"/>
      </c>
      <c r="O253" s="86"/>
      <c r="P253" s="86"/>
      <c r="Q253" s="158"/>
    </row>
    <row r="254" spans="1:17" ht="15.75">
      <c r="A254" s="148">
        <f t="shared" si="110"/>
      </c>
      <c r="B254" s="149">
        <f t="shared" si="111"/>
      </c>
      <c r="C254" s="150">
        <f t="shared" si="94"/>
      </c>
      <c r="D254" s="149">
        <f t="shared" si="95"/>
      </c>
      <c r="E254" s="149">
        <f t="shared" si="112"/>
      </c>
      <c r="F254" s="151">
        <v>0</v>
      </c>
      <c r="G254" s="149">
        <f t="shared" si="113"/>
      </c>
      <c r="H254" s="161"/>
      <c r="I254" s="146"/>
      <c r="J254" s="86"/>
      <c r="K254" s="90">
        <f t="shared" si="93"/>
      </c>
      <c r="L254" s="153">
        <f t="shared" si="114"/>
      </c>
      <c r="M254" s="153">
        <f t="shared" si="115"/>
      </c>
      <c r="N254" s="153">
        <f t="shared" si="116"/>
      </c>
      <c r="O254" s="86"/>
      <c r="P254" s="86"/>
      <c r="Q254" s="158"/>
    </row>
    <row r="255" spans="1:17" ht="15.75">
      <c r="A255" s="148">
        <f t="shared" si="110"/>
      </c>
      <c r="B255" s="149">
        <f t="shared" si="111"/>
      </c>
      <c r="C255" s="150">
        <f t="shared" si="94"/>
      </c>
      <c r="D255" s="149">
        <f t="shared" si="95"/>
      </c>
      <c r="E255" s="149">
        <f t="shared" si="112"/>
      </c>
      <c r="F255" s="151">
        <v>0</v>
      </c>
      <c r="G255" s="149">
        <f t="shared" si="113"/>
      </c>
      <c r="H255" s="161"/>
      <c r="I255" s="146"/>
      <c r="J255" s="86"/>
      <c r="K255" s="90">
        <f t="shared" si="93"/>
      </c>
      <c r="L255" s="153">
        <f t="shared" si="114"/>
      </c>
      <c r="M255" s="153">
        <f t="shared" si="115"/>
      </c>
      <c r="N255" s="153">
        <f t="shared" si="116"/>
      </c>
      <c r="O255" s="86"/>
      <c r="P255" s="86"/>
      <c r="Q255" s="158"/>
    </row>
    <row r="256" spans="1:17" ht="15.75">
      <c r="A256" s="148">
        <f aca="true" t="shared" si="117" ref="A256:A271">IF(G255=0,"",1+A255)</f>
      </c>
      <c r="B256" s="149">
        <f aca="true" t="shared" si="118" ref="B256:B271">IF(G255=0,"",ROUND(G255,2))</f>
      </c>
      <c r="C256" s="150">
        <f t="shared" si="94"/>
      </c>
      <c r="D256" s="149">
        <f t="shared" si="95"/>
      </c>
      <c r="E256" s="149">
        <f aca="true" t="shared" si="119" ref="E256:E271">IF(G255=0,"",C256-D256+F256)</f>
      </c>
      <c r="F256" s="151">
        <v>0</v>
      </c>
      <c r="G256" s="149">
        <f aca="true" t="shared" si="120" ref="G256:G271">IF(G255=0,"",ROUND(B256-E256,2))</f>
      </c>
      <c r="H256" s="161"/>
      <c r="I256" s="146"/>
      <c r="J256" s="86"/>
      <c r="K256" s="90">
        <f t="shared" si="93"/>
      </c>
      <c r="L256" s="153">
        <f aca="true" t="shared" si="121" ref="L256:L271">IF(G255=0,"",C256+F256+L255)</f>
      </c>
      <c r="M256" s="153">
        <f aca="true" t="shared" si="122" ref="M256:M271">IF(G255=0,"",M255+D256)</f>
      </c>
      <c r="N256" s="153">
        <f aca="true" t="shared" si="123" ref="N256:N271">IF(G255=0,"",L256-M256)</f>
      </c>
      <c r="O256" s="86"/>
      <c r="P256" s="86"/>
      <c r="Q256" s="158"/>
    </row>
    <row r="257" spans="1:17" ht="15.75">
      <c r="A257" s="148">
        <f t="shared" si="117"/>
      </c>
      <c r="B257" s="149">
        <f t="shared" si="118"/>
      </c>
      <c r="C257" s="150">
        <f t="shared" si="94"/>
      </c>
      <c r="D257" s="149">
        <f t="shared" si="95"/>
      </c>
      <c r="E257" s="149">
        <f t="shared" si="119"/>
      </c>
      <c r="F257" s="151">
        <v>0</v>
      </c>
      <c r="G257" s="149">
        <f t="shared" si="120"/>
      </c>
      <c r="H257" s="161"/>
      <c r="I257" s="146"/>
      <c r="J257" s="86"/>
      <c r="K257" s="90">
        <f t="shared" si="93"/>
      </c>
      <c r="L257" s="153">
        <f t="shared" si="121"/>
      </c>
      <c r="M257" s="153">
        <f t="shared" si="122"/>
      </c>
      <c r="N257" s="153">
        <f t="shared" si="123"/>
      </c>
      <c r="O257" s="86"/>
      <c r="P257" s="86"/>
      <c r="Q257" s="158"/>
    </row>
    <row r="258" spans="1:17" ht="15.75">
      <c r="A258" s="148">
        <f t="shared" si="117"/>
      </c>
      <c r="B258" s="149">
        <f t="shared" si="118"/>
      </c>
      <c r="C258" s="150">
        <f t="shared" si="94"/>
      </c>
      <c r="D258" s="149">
        <f t="shared" si="95"/>
      </c>
      <c r="E258" s="149">
        <f t="shared" si="119"/>
      </c>
      <c r="F258" s="151">
        <v>0</v>
      </c>
      <c r="G258" s="149">
        <f t="shared" si="120"/>
      </c>
      <c r="H258" s="161"/>
      <c r="I258" s="146"/>
      <c r="J258" s="86"/>
      <c r="K258" s="90">
        <f t="shared" si="93"/>
      </c>
      <c r="L258" s="153">
        <f t="shared" si="121"/>
      </c>
      <c r="M258" s="153">
        <f t="shared" si="122"/>
      </c>
      <c r="N258" s="153">
        <f t="shared" si="123"/>
      </c>
      <c r="O258" s="86"/>
      <c r="P258" s="86"/>
      <c r="Q258" s="158"/>
    </row>
    <row r="259" spans="1:17" ht="15.75">
      <c r="A259" s="148">
        <f t="shared" si="117"/>
      </c>
      <c r="B259" s="149">
        <f t="shared" si="118"/>
      </c>
      <c r="C259" s="150">
        <f t="shared" si="94"/>
      </c>
      <c r="D259" s="149">
        <f t="shared" si="95"/>
      </c>
      <c r="E259" s="149">
        <f t="shared" si="119"/>
      </c>
      <c r="F259" s="151">
        <v>0</v>
      </c>
      <c r="G259" s="149">
        <f t="shared" si="120"/>
      </c>
      <c r="H259" s="161"/>
      <c r="I259" s="146"/>
      <c r="J259" s="86"/>
      <c r="K259" s="90">
        <f t="shared" si="93"/>
      </c>
      <c r="L259" s="153">
        <f t="shared" si="121"/>
      </c>
      <c r="M259" s="153">
        <f t="shared" si="122"/>
      </c>
      <c r="N259" s="153">
        <f t="shared" si="123"/>
      </c>
      <c r="O259" s="86"/>
      <c r="P259" s="86"/>
      <c r="Q259" s="158"/>
    </row>
    <row r="260" spans="1:17" ht="15.75">
      <c r="A260" s="148">
        <f t="shared" si="117"/>
      </c>
      <c r="B260" s="149">
        <f t="shared" si="118"/>
      </c>
      <c r="C260" s="150">
        <f t="shared" si="94"/>
      </c>
      <c r="D260" s="149">
        <f t="shared" si="95"/>
      </c>
      <c r="E260" s="149">
        <f t="shared" si="119"/>
      </c>
      <c r="F260" s="151">
        <v>0</v>
      </c>
      <c r="G260" s="149">
        <f t="shared" si="120"/>
      </c>
      <c r="H260" s="161"/>
      <c r="I260" s="146"/>
      <c r="J260" s="86"/>
      <c r="K260" s="90">
        <f t="shared" si="93"/>
      </c>
      <c r="L260" s="153">
        <f t="shared" si="121"/>
      </c>
      <c r="M260" s="153">
        <f t="shared" si="122"/>
      </c>
      <c r="N260" s="153">
        <f t="shared" si="123"/>
      </c>
      <c r="O260" s="86"/>
      <c r="P260" s="86"/>
      <c r="Q260" s="158"/>
    </row>
    <row r="261" spans="1:17" ht="15.75">
      <c r="A261" s="148">
        <f t="shared" si="117"/>
      </c>
      <c r="B261" s="149">
        <f t="shared" si="118"/>
      </c>
      <c r="C261" s="150">
        <f t="shared" si="94"/>
      </c>
      <c r="D261" s="149">
        <f t="shared" si="95"/>
      </c>
      <c r="E261" s="149">
        <f t="shared" si="119"/>
      </c>
      <c r="F261" s="151">
        <v>0</v>
      </c>
      <c r="G261" s="149">
        <f t="shared" si="120"/>
      </c>
      <c r="H261" s="161"/>
      <c r="I261" s="146"/>
      <c r="J261" s="86"/>
      <c r="K261" s="90">
        <f t="shared" si="93"/>
      </c>
      <c r="L261" s="153">
        <f t="shared" si="121"/>
      </c>
      <c r="M261" s="153">
        <f t="shared" si="122"/>
      </c>
      <c r="N261" s="153">
        <f t="shared" si="123"/>
      </c>
      <c r="O261" s="86"/>
      <c r="P261" s="86"/>
      <c r="Q261" s="158"/>
    </row>
    <row r="262" spans="1:17" ht="15.75">
      <c r="A262" s="148">
        <f t="shared" si="117"/>
      </c>
      <c r="B262" s="149">
        <f t="shared" si="118"/>
      </c>
      <c r="C262" s="150">
        <f t="shared" si="94"/>
      </c>
      <c r="D262" s="149">
        <f t="shared" si="95"/>
      </c>
      <c r="E262" s="149">
        <f t="shared" si="119"/>
      </c>
      <c r="F262" s="151">
        <v>0</v>
      </c>
      <c r="G262" s="149">
        <f t="shared" si="120"/>
      </c>
      <c r="H262" s="161"/>
      <c r="I262" s="146"/>
      <c r="J262" s="86"/>
      <c r="K262" s="90">
        <f t="shared" si="93"/>
      </c>
      <c r="L262" s="153">
        <f t="shared" si="121"/>
      </c>
      <c r="M262" s="153">
        <f t="shared" si="122"/>
      </c>
      <c r="N262" s="153">
        <f t="shared" si="123"/>
      </c>
      <c r="O262" s="86"/>
      <c r="P262" s="86"/>
      <c r="Q262" s="158"/>
    </row>
    <row r="263" spans="1:17" ht="15.75">
      <c r="A263" s="148">
        <f t="shared" si="117"/>
      </c>
      <c r="B263" s="149">
        <f t="shared" si="118"/>
      </c>
      <c r="C263" s="150">
        <f t="shared" si="94"/>
      </c>
      <c r="D263" s="149">
        <f t="shared" si="95"/>
      </c>
      <c r="E263" s="149">
        <f t="shared" si="119"/>
      </c>
      <c r="F263" s="151">
        <v>0</v>
      </c>
      <c r="G263" s="149">
        <f t="shared" si="120"/>
      </c>
      <c r="H263" s="161"/>
      <c r="I263" s="146"/>
      <c r="J263" s="86"/>
      <c r="K263" s="90">
        <f t="shared" si="93"/>
      </c>
      <c r="L263" s="153">
        <f t="shared" si="121"/>
      </c>
      <c r="M263" s="153">
        <f t="shared" si="122"/>
      </c>
      <c r="N263" s="153">
        <f t="shared" si="123"/>
      </c>
      <c r="O263" s="86"/>
      <c r="P263" s="86"/>
      <c r="Q263" s="158"/>
    </row>
    <row r="264" spans="1:17" ht="15.75">
      <c r="A264" s="148">
        <f t="shared" si="117"/>
      </c>
      <c r="B264" s="149">
        <f t="shared" si="118"/>
      </c>
      <c r="C264" s="150">
        <f t="shared" si="94"/>
      </c>
      <c r="D264" s="149">
        <f t="shared" si="95"/>
      </c>
      <c r="E264" s="149">
        <f t="shared" si="119"/>
      </c>
      <c r="F264" s="151">
        <v>0</v>
      </c>
      <c r="G264" s="149">
        <f t="shared" si="120"/>
      </c>
      <c r="H264" s="161"/>
      <c r="I264" s="146"/>
      <c r="J264" s="86"/>
      <c r="K264" s="90">
        <f t="shared" si="93"/>
      </c>
      <c r="L264" s="153">
        <f t="shared" si="121"/>
      </c>
      <c r="M264" s="153">
        <f t="shared" si="122"/>
      </c>
      <c r="N264" s="153">
        <f t="shared" si="123"/>
      </c>
      <c r="O264" s="86"/>
      <c r="P264" s="86"/>
      <c r="Q264" s="158"/>
    </row>
    <row r="265" spans="1:17" ht="15.75">
      <c r="A265" s="148">
        <f t="shared" si="117"/>
      </c>
      <c r="B265" s="149">
        <f t="shared" si="118"/>
      </c>
      <c r="C265" s="150">
        <f t="shared" si="94"/>
      </c>
      <c r="D265" s="149">
        <f t="shared" si="95"/>
      </c>
      <c r="E265" s="149">
        <f t="shared" si="119"/>
      </c>
      <c r="F265" s="151">
        <v>0</v>
      </c>
      <c r="G265" s="149">
        <f t="shared" si="120"/>
      </c>
      <c r="H265" s="161"/>
      <c r="I265" s="146"/>
      <c r="J265" s="86"/>
      <c r="K265" s="90">
        <f t="shared" si="93"/>
      </c>
      <c r="L265" s="153">
        <f t="shared" si="121"/>
      </c>
      <c r="M265" s="153">
        <f t="shared" si="122"/>
      </c>
      <c r="N265" s="153">
        <f t="shared" si="123"/>
      </c>
      <c r="O265" s="86"/>
      <c r="P265" s="86"/>
      <c r="Q265" s="158"/>
    </row>
    <row r="266" spans="1:17" ht="15.75">
      <c r="A266" s="148">
        <f t="shared" si="117"/>
      </c>
      <c r="B266" s="149">
        <f t="shared" si="118"/>
      </c>
      <c r="C266" s="150">
        <f t="shared" si="94"/>
      </c>
      <c r="D266" s="149">
        <f t="shared" si="95"/>
      </c>
      <c r="E266" s="149">
        <f t="shared" si="119"/>
      </c>
      <c r="F266" s="151">
        <v>0</v>
      </c>
      <c r="G266" s="149">
        <f t="shared" si="120"/>
      </c>
      <c r="H266" s="161"/>
      <c r="I266" s="146"/>
      <c r="J266" s="86"/>
      <c r="K266" s="90">
        <f t="shared" si="93"/>
      </c>
      <c r="L266" s="153">
        <f t="shared" si="121"/>
      </c>
      <c r="M266" s="153">
        <f t="shared" si="122"/>
      </c>
      <c r="N266" s="153">
        <f t="shared" si="123"/>
      </c>
      <c r="O266" s="86"/>
      <c r="P266" s="86"/>
      <c r="Q266" s="158"/>
    </row>
    <row r="267" spans="1:17" ht="15.75">
      <c r="A267" s="148">
        <f t="shared" si="117"/>
      </c>
      <c r="B267" s="149">
        <f t="shared" si="118"/>
      </c>
      <c r="C267" s="150">
        <f t="shared" si="94"/>
      </c>
      <c r="D267" s="149">
        <f t="shared" si="95"/>
      </c>
      <c r="E267" s="149">
        <f t="shared" si="119"/>
      </c>
      <c r="F267" s="151">
        <v>0</v>
      </c>
      <c r="G267" s="149">
        <f t="shared" si="120"/>
      </c>
      <c r="H267" s="161"/>
      <c r="I267" s="146"/>
      <c r="J267" s="86"/>
      <c r="K267" s="90">
        <f t="shared" si="93"/>
      </c>
      <c r="L267" s="153">
        <f t="shared" si="121"/>
      </c>
      <c r="M267" s="153">
        <f t="shared" si="122"/>
      </c>
      <c r="N267" s="153">
        <f t="shared" si="123"/>
      </c>
      <c r="O267" s="86"/>
      <c r="P267" s="86"/>
      <c r="Q267" s="158"/>
    </row>
    <row r="268" spans="1:17" ht="15.75">
      <c r="A268" s="148">
        <f t="shared" si="117"/>
      </c>
      <c r="B268" s="149">
        <f t="shared" si="118"/>
      </c>
      <c r="C268" s="150">
        <f t="shared" si="94"/>
      </c>
      <c r="D268" s="149">
        <f t="shared" si="95"/>
      </c>
      <c r="E268" s="149">
        <f t="shared" si="119"/>
      </c>
      <c r="F268" s="151">
        <v>0</v>
      </c>
      <c r="G268" s="149">
        <f t="shared" si="120"/>
      </c>
      <c r="H268" s="161"/>
      <c r="I268" s="146"/>
      <c r="J268" s="86"/>
      <c r="K268" s="90">
        <f t="shared" si="93"/>
      </c>
      <c r="L268" s="153">
        <f t="shared" si="121"/>
      </c>
      <c r="M268" s="153">
        <f t="shared" si="122"/>
      </c>
      <c r="N268" s="153">
        <f t="shared" si="123"/>
      </c>
      <c r="O268" s="86"/>
      <c r="P268" s="86"/>
      <c r="Q268" s="158"/>
    </row>
    <row r="269" spans="1:17" ht="15.75">
      <c r="A269" s="148">
        <f t="shared" si="117"/>
      </c>
      <c r="B269" s="149">
        <f t="shared" si="118"/>
      </c>
      <c r="C269" s="150">
        <f t="shared" si="94"/>
      </c>
      <c r="D269" s="149">
        <f t="shared" si="95"/>
      </c>
      <c r="E269" s="149">
        <f t="shared" si="119"/>
      </c>
      <c r="F269" s="151">
        <v>0</v>
      </c>
      <c r="G269" s="149">
        <f t="shared" si="120"/>
      </c>
      <c r="H269" s="161"/>
      <c r="I269" s="146"/>
      <c r="J269" s="86"/>
      <c r="K269" s="90">
        <f t="shared" si="93"/>
      </c>
      <c r="L269" s="153">
        <f t="shared" si="121"/>
      </c>
      <c r="M269" s="153">
        <f t="shared" si="122"/>
      </c>
      <c r="N269" s="153">
        <f t="shared" si="123"/>
      </c>
      <c r="O269" s="86"/>
      <c r="P269" s="86"/>
      <c r="Q269" s="158"/>
    </row>
    <row r="270" spans="1:17" ht="15.75">
      <c r="A270" s="148">
        <f t="shared" si="117"/>
      </c>
      <c r="B270" s="149">
        <f t="shared" si="118"/>
      </c>
      <c r="C270" s="150">
        <f t="shared" si="94"/>
      </c>
      <c r="D270" s="149">
        <f t="shared" si="95"/>
      </c>
      <c r="E270" s="149">
        <f t="shared" si="119"/>
      </c>
      <c r="F270" s="151">
        <v>0</v>
      </c>
      <c r="G270" s="149">
        <f t="shared" si="120"/>
      </c>
      <c r="H270" s="161"/>
      <c r="I270" s="146"/>
      <c r="J270" s="86"/>
      <c r="K270" s="90">
        <f aca="true" t="shared" si="124" ref="K270:K333">A270</f>
      </c>
      <c r="L270" s="153">
        <f t="shared" si="121"/>
      </c>
      <c r="M270" s="153">
        <f t="shared" si="122"/>
      </c>
      <c r="N270" s="153">
        <f t="shared" si="123"/>
      </c>
      <c r="O270" s="86"/>
      <c r="P270" s="86"/>
      <c r="Q270" s="158"/>
    </row>
    <row r="271" spans="1:17" ht="15.75">
      <c r="A271" s="148">
        <f t="shared" si="117"/>
      </c>
      <c r="B271" s="149">
        <f t="shared" si="118"/>
      </c>
      <c r="C271" s="150">
        <f aca="true" t="shared" si="125" ref="C271:C334">IF(G270=0,"",ROUND(IF(B271+D271&lt;$F$3,B271+D271,$F$3),2))</f>
      </c>
      <c r="D271" s="149">
        <f aca="true" t="shared" si="126" ref="D271:D334">IF(G270=0,"",ROUND(((1+($D$4/($D$7*100)))^($D$7/$D$6)-1)*B271,2))</f>
      </c>
      <c r="E271" s="149">
        <f t="shared" si="119"/>
      </c>
      <c r="F271" s="151">
        <v>0</v>
      </c>
      <c r="G271" s="149">
        <f t="shared" si="120"/>
      </c>
      <c r="H271" s="161"/>
      <c r="I271" s="146"/>
      <c r="J271" s="86"/>
      <c r="K271" s="90">
        <f t="shared" si="124"/>
      </c>
      <c r="L271" s="153">
        <f t="shared" si="121"/>
      </c>
      <c r="M271" s="153">
        <f t="shared" si="122"/>
      </c>
      <c r="N271" s="153">
        <f t="shared" si="123"/>
      </c>
      <c r="O271" s="86"/>
      <c r="P271" s="86"/>
      <c r="Q271" s="158"/>
    </row>
    <row r="272" spans="1:17" ht="15.75">
      <c r="A272" s="148">
        <f aca="true" t="shared" si="127" ref="A272:A287">IF(G271=0,"",1+A271)</f>
      </c>
      <c r="B272" s="149">
        <f aca="true" t="shared" si="128" ref="B272:B287">IF(G271=0,"",ROUND(G271,2))</f>
      </c>
      <c r="C272" s="150">
        <f t="shared" si="125"/>
      </c>
      <c r="D272" s="149">
        <f t="shared" si="126"/>
      </c>
      <c r="E272" s="149">
        <f aca="true" t="shared" si="129" ref="E272:E287">IF(G271=0,"",C272-D272+F272)</f>
      </c>
      <c r="F272" s="151">
        <v>0</v>
      </c>
      <c r="G272" s="149">
        <f aca="true" t="shared" si="130" ref="G272:G287">IF(G271=0,"",ROUND(B272-E272,2))</f>
      </c>
      <c r="H272" s="161"/>
      <c r="I272" s="146"/>
      <c r="J272" s="86"/>
      <c r="K272" s="90">
        <f t="shared" si="124"/>
      </c>
      <c r="L272" s="153">
        <f aca="true" t="shared" si="131" ref="L272:L287">IF(G271=0,"",C272+F272+L271)</f>
      </c>
      <c r="M272" s="153">
        <f aca="true" t="shared" si="132" ref="M272:M287">IF(G271=0,"",M271+D272)</f>
      </c>
      <c r="N272" s="153">
        <f aca="true" t="shared" si="133" ref="N272:N287">IF(G271=0,"",L272-M272)</f>
      </c>
      <c r="O272" s="86"/>
      <c r="P272" s="86"/>
      <c r="Q272" s="158"/>
    </row>
    <row r="273" spans="1:17" ht="15.75">
      <c r="A273" s="148">
        <f t="shared" si="127"/>
      </c>
      <c r="B273" s="149">
        <f t="shared" si="128"/>
      </c>
      <c r="C273" s="150">
        <f t="shared" si="125"/>
      </c>
      <c r="D273" s="149">
        <f t="shared" si="126"/>
      </c>
      <c r="E273" s="149">
        <f t="shared" si="129"/>
      </c>
      <c r="F273" s="151">
        <v>0</v>
      </c>
      <c r="G273" s="149">
        <f t="shared" si="130"/>
      </c>
      <c r="H273" s="161"/>
      <c r="I273" s="146"/>
      <c r="J273" s="86"/>
      <c r="K273" s="90">
        <f t="shared" si="124"/>
      </c>
      <c r="L273" s="153">
        <f t="shared" si="131"/>
      </c>
      <c r="M273" s="153">
        <f t="shared" si="132"/>
      </c>
      <c r="N273" s="153">
        <f t="shared" si="133"/>
      </c>
      <c r="O273" s="86"/>
      <c r="P273" s="86"/>
      <c r="Q273" s="158"/>
    </row>
    <row r="274" spans="1:17" ht="15.75">
      <c r="A274" s="148">
        <f t="shared" si="127"/>
      </c>
      <c r="B274" s="149">
        <f t="shared" si="128"/>
      </c>
      <c r="C274" s="150">
        <f t="shared" si="125"/>
      </c>
      <c r="D274" s="149">
        <f t="shared" si="126"/>
      </c>
      <c r="E274" s="149">
        <f t="shared" si="129"/>
      </c>
      <c r="F274" s="151">
        <v>0</v>
      </c>
      <c r="G274" s="149">
        <f t="shared" si="130"/>
      </c>
      <c r="H274" s="161"/>
      <c r="I274" s="146"/>
      <c r="J274" s="86"/>
      <c r="K274" s="90">
        <f t="shared" si="124"/>
      </c>
      <c r="L274" s="153">
        <f t="shared" si="131"/>
      </c>
      <c r="M274" s="153">
        <f t="shared" si="132"/>
      </c>
      <c r="N274" s="153">
        <f t="shared" si="133"/>
      </c>
      <c r="O274" s="86"/>
      <c r="P274" s="86"/>
      <c r="Q274" s="158"/>
    </row>
    <row r="275" spans="1:17" ht="15.75">
      <c r="A275" s="148">
        <f t="shared" si="127"/>
      </c>
      <c r="B275" s="149">
        <f t="shared" si="128"/>
      </c>
      <c r="C275" s="150">
        <f t="shared" si="125"/>
      </c>
      <c r="D275" s="149">
        <f t="shared" si="126"/>
      </c>
      <c r="E275" s="149">
        <f t="shared" si="129"/>
      </c>
      <c r="F275" s="151">
        <v>0</v>
      </c>
      <c r="G275" s="149">
        <f t="shared" si="130"/>
      </c>
      <c r="H275" s="161"/>
      <c r="I275" s="146"/>
      <c r="J275" s="86"/>
      <c r="K275" s="90">
        <f t="shared" si="124"/>
      </c>
      <c r="L275" s="153">
        <f t="shared" si="131"/>
      </c>
      <c r="M275" s="153">
        <f t="shared" si="132"/>
      </c>
      <c r="N275" s="153">
        <f t="shared" si="133"/>
      </c>
      <c r="O275" s="86"/>
      <c r="P275" s="86"/>
      <c r="Q275" s="158"/>
    </row>
    <row r="276" spans="1:17" ht="15.75">
      <c r="A276" s="148">
        <f t="shared" si="127"/>
      </c>
      <c r="B276" s="149">
        <f t="shared" si="128"/>
      </c>
      <c r="C276" s="150">
        <f t="shared" si="125"/>
      </c>
      <c r="D276" s="149">
        <f t="shared" si="126"/>
      </c>
      <c r="E276" s="149">
        <f t="shared" si="129"/>
      </c>
      <c r="F276" s="151">
        <v>0</v>
      </c>
      <c r="G276" s="149">
        <f t="shared" si="130"/>
      </c>
      <c r="H276" s="161"/>
      <c r="I276" s="146"/>
      <c r="J276" s="86"/>
      <c r="K276" s="90">
        <f t="shared" si="124"/>
      </c>
      <c r="L276" s="153">
        <f t="shared" si="131"/>
      </c>
      <c r="M276" s="153">
        <f t="shared" si="132"/>
      </c>
      <c r="N276" s="153">
        <f t="shared" si="133"/>
      </c>
      <c r="O276" s="86"/>
      <c r="P276" s="86"/>
      <c r="Q276" s="158"/>
    </row>
    <row r="277" spans="1:17" ht="15.75">
      <c r="A277" s="148">
        <f t="shared" si="127"/>
      </c>
      <c r="B277" s="149">
        <f t="shared" si="128"/>
      </c>
      <c r="C277" s="150">
        <f t="shared" si="125"/>
      </c>
      <c r="D277" s="149">
        <f t="shared" si="126"/>
      </c>
      <c r="E277" s="149">
        <f t="shared" si="129"/>
      </c>
      <c r="F277" s="151">
        <v>0</v>
      </c>
      <c r="G277" s="149">
        <f t="shared" si="130"/>
      </c>
      <c r="H277" s="161"/>
      <c r="I277" s="146"/>
      <c r="J277" s="86"/>
      <c r="K277" s="90">
        <f t="shared" si="124"/>
      </c>
      <c r="L277" s="153">
        <f t="shared" si="131"/>
      </c>
      <c r="M277" s="153">
        <f t="shared" si="132"/>
      </c>
      <c r="N277" s="153">
        <f t="shared" si="133"/>
      </c>
      <c r="O277" s="86"/>
      <c r="P277" s="86"/>
      <c r="Q277" s="158"/>
    </row>
    <row r="278" spans="1:17" ht="15.75">
      <c r="A278" s="148">
        <f t="shared" si="127"/>
      </c>
      <c r="B278" s="149">
        <f t="shared" si="128"/>
      </c>
      <c r="C278" s="150">
        <f t="shared" si="125"/>
      </c>
      <c r="D278" s="149">
        <f t="shared" si="126"/>
      </c>
      <c r="E278" s="149">
        <f t="shared" si="129"/>
      </c>
      <c r="F278" s="151">
        <v>0</v>
      </c>
      <c r="G278" s="149">
        <f t="shared" si="130"/>
      </c>
      <c r="H278" s="161"/>
      <c r="I278" s="146"/>
      <c r="J278" s="86"/>
      <c r="K278" s="90">
        <f t="shared" si="124"/>
      </c>
      <c r="L278" s="153">
        <f t="shared" si="131"/>
      </c>
      <c r="M278" s="153">
        <f t="shared" si="132"/>
      </c>
      <c r="N278" s="153">
        <f t="shared" si="133"/>
      </c>
      <c r="O278" s="86"/>
      <c r="P278" s="86"/>
      <c r="Q278" s="158"/>
    </row>
    <row r="279" spans="1:17" ht="15.75">
      <c r="A279" s="148">
        <f t="shared" si="127"/>
      </c>
      <c r="B279" s="149">
        <f t="shared" si="128"/>
      </c>
      <c r="C279" s="150">
        <f t="shared" si="125"/>
      </c>
      <c r="D279" s="149">
        <f t="shared" si="126"/>
      </c>
      <c r="E279" s="149">
        <f t="shared" si="129"/>
      </c>
      <c r="F279" s="151">
        <v>0</v>
      </c>
      <c r="G279" s="149">
        <f t="shared" si="130"/>
      </c>
      <c r="H279" s="161"/>
      <c r="I279" s="146"/>
      <c r="J279" s="86"/>
      <c r="K279" s="90">
        <f t="shared" si="124"/>
      </c>
      <c r="L279" s="153">
        <f t="shared" si="131"/>
      </c>
      <c r="M279" s="153">
        <f t="shared" si="132"/>
      </c>
      <c r="N279" s="153">
        <f t="shared" si="133"/>
      </c>
      <c r="O279" s="86"/>
      <c r="P279" s="86"/>
      <c r="Q279" s="158"/>
    </row>
    <row r="280" spans="1:17" ht="15.75">
      <c r="A280" s="148">
        <f t="shared" si="127"/>
      </c>
      <c r="B280" s="149">
        <f t="shared" si="128"/>
      </c>
      <c r="C280" s="150">
        <f t="shared" si="125"/>
      </c>
      <c r="D280" s="149">
        <f t="shared" si="126"/>
      </c>
      <c r="E280" s="149">
        <f t="shared" si="129"/>
      </c>
      <c r="F280" s="151">
        <v>0</v>
      </c>
      <c r="G280" s="149">
        <f t="shared" si="130"/>
      </c>
      <c r="H280" s="161"/>
      <c r="I280" s="146"/>
      <c r="J280" s="86"/>
      <c r="K280" s="90">
        <f t="shared" si="124"/>
      </c>
      <c r="L280" s="153">
        <f t="shared" si="131"/>
      </c>
      <c r="M280" s="153">
        <f t="shared" si="132"/>
      </c>
      <c r="N280" s="153">
        <f t="shared" si="133"/>
      </c>
      <c r="O280" s="86"/>
      <c r="P280" s="86"/>
      <c r="Q280" s="158"/>
    </row>
    <row r="281" spans="1:17" ht="15.75">
      <c r="A281" s="148">
        <f t="shared" si="127"/>
      </c>
      <c r="B281" s="149">
        <f t="shared" si="128"/>
      </c>
      <c r="C281" s="150">
        <f t="shared" si="125"/>
      </c>
      <c r="D281" s="149">
        <f t="shared" si="126"/>
      </c>
      <c r="E281" s="149">
        <f t="shared" si="129"/>
      </c>
      <c r="F281" s="151">
        <v>0</v>
      </c>
      <c r="G281" s="149">
        <f t="shared" si="130"/>
      </c>
      <c r="H281" s="161"/>
      <c r="I281" s="146"/>
      <c r="J281" s="86"/>
      <c r="K281" s="90">
        <f t="shared" si="124"/>
      </c>
      <c r="L281" s="153">
        <f t="shared" si="131"/>
      </c>
      <c r="M281" s="153">
        <f t="shared" si="132"/>
      </c>
      <c r="N281" s="153">
        <f t="shared" si="133"/>
      </c>
      <c r="O281" s="86"/>
      <c r="P281" s="86"/>
      <c r="Q281" s="158"/>
    </row>
    <row r="282" spans="1:17" ht="15.75">
      <c r="A282" s="148">
        <f t="shared" si="127"/>
      </c>
      <c r="B282" s="149">
        <f t="shared" si="128"/>
      </c>
      <c r="C282" s="150">
        <f t="shared" si="125"/>
      </c>
      <c r="D282" s="149">
        <f t="shared" si="126"/>
      </c>
      <c r="E282" s="149">
        <f t="shared" si="129"/>
      </c>
      <c r="F282" s="151">
        <v>0</v>
      </c>
      <c r="G282" s="149">
        <f t="shared" si="130"/>
      </c>
      <c r="H282" s="161"/>
      <c r="I282" s="146"/>
      <c r="J282" s="86"/>
      <c r="K282" s="90">
        <f t="shared" si="124"/>
      </c>
      <c r="L282" s="153">
        <f t="shared" si="131"/>
      </c>
      <c r="M282" s="153">
        <f t="shared" si="132"/>
      </c>
      <c r="N282" s="153">
        <f t="shared" si="133"/>
      </c>
      <c r="O282" s="86"/>
      <c r="P282" s="86"/>
      <c r="Q282" s="158"/>
    </row>
    <row r="283" spans="1:17" ht="15.75">
      <c r="A283" s="148">
        <f t="shared" si="127"/>
      </c>
      <c r="B283" s="149">
        <f t="shared" si="128"/>
      </c>
      <c r="C283" s="150">
        <f t="shared" si="125"/>
      </c>
      <c r="D283" s="149">
        <f t="shared" si="126"/>
      </c>
      <c r="E283" s="149">
        <f t="shared" si="129"/>
      </c>
      <c r="F283" s="151">
        <v>0</v>
      </c>
      <c r="G283" s="149">
        <f t="shared" si="130"/>
      </c>
      <c r="H283" s="161"/>
      <c r="I283" s="146"/>
      <c r="J283" s="86"/>
      <c r="K283" s="90">
        <f t="shared" si="124"/>
      </c>
      <c r="L283" s="153">
        <f t="shared" si="131"/>
      </c>
      <c r="M283" s="153">
        <f t="shared" si="132"/>
      </c>
      <c r="N283" s="153">
        <f t="shared" si="133"/>
      </c>
      <c r="O283" s="86"/>
      <c r="P283" s="86"/>
      <c r="Q283" s="158"/>
    </row>
    <row r="284" spans="1:17" ht="15.75">
      <c r="A284" s="148">
        <f t="shared" si="127"/>
      </c>
      <c r="B284" s="149">
        <f t="shared" si="128"/>
      </c>
      <c r="C284" s="150">
        <f t="shared" si="125"/>
      </c>
      <c r="D284" s="149">
        <f t="shared" si="126"/>
      </c>
      <c r="E284" s="149">
        <f t="shared" si="129"/>
      </c>
      <c r="F284" s="151">
        <v>0</v>
      </c>
      <c r="G284" s="149">
        <f t="shared" si="130"/>
      </c>
      <c r="H284" s="161"/>
      <c r="I284" s="146"/>
      <c r="J284" s="86"/>
      <c r="K284" s="90">
        <f t="shared" si="124"/>
      </c>
      <c r="L284" s="153">
        <f t="shared" si="131"/>
      </c>
      <c r="M284" s="153">
        <f t="shared" si="132"/>
      </c>
      <c r="N284" s="153">
        <f t="shared" si="133"/>
      </c>
      <c r="O284" s="86"/>
      <c r="P284" s="86"/>
      <c r="Q284" s="158"/>
    </row>
    <row r="285" spans="1:17" ht="15.75">
      <c r="A285" s="148">
        <f t="shared" si="127"/>
      </c>
      <c r="B285" s="149">
        <f t="shared" si="128"/>
      </c>
      <c r="C285" s="150">
        <f t="shared" si="125"/>
      </c>
      <c r="D285" s="149">
        <f t="shared" si="126"/>
      </c>
      <c r="E285" s="149">
        <f t="shared" si="129"/>
      </c>
      <c r="F285" s="151">
        <v>0</v>
      </c>
      <c r="G285" s="149">
        <f t="shared" si="130"/>
      </c>
      <c r="H285" s="161"/>
      <c r="I285" s="146"/>
      <c r="J285" s="86"/>
      <c r="K285" s="90">
        <f t="shared" si="124"/>
      </c>
      <c r="L285" s="153">
        <f t="shared" si="131"/>
      </c>
      <c r="M285" s="153">
        <f t="shared" si="132"/>
      </c>
      <c r="N285" s="153">
        <f t="shared" si="133"/>
      </c>
      <c r="O285" s="86"/>
      <c r="P285" s="86"/>
      <c r="Q285" s="158"/>
    </row>
    <row r="286" spans="1:17" ht="15.75">
      <c r="A286" s="148">
        <f t="shared" si="127"/>
      </c>
      <c r="B286" s="149">
        <f t="shared" si="128"/>
      </c>
      <c r="C286" s="150">
        <f t="shared" si="125"/>
      </c>
      <c r="D286" s="149">
        <f t="shared" si="126"/>
      </c>
      <c r="E286" s="149">
        <f t="shared" si="129"/>
      </c>
      <c r="F286" s="151">
        <v>0</v>
      </c>
      <c r="G286" s="149">
        <f t="shared" si="130"/>
      </c>
      <c r="H286" s="161"/>
      <c r="I286" s="146"/>
      <c r="J286" s="86"/>
      <c r="K286" s="90">
        <f t="shared" si="124"/>
      </c>
      <c r="L286" s="153">
        <f t="shared" si="131"/>
      </c>
      <c r="M286" s="153">
        <f t="shared" si="132"/>
      </c>
      <c r="N286" s="153">
        <f t="shared" si="133"/>
      </c>
      <c r="O286" s="86"/>
      <c r="P286" s="86"/>
      <c r="Q286" s="158"/>
    </row>
    <row r="287" spans="1:17" ht="15.75">
      <c r="A287" s="148">
        <f t="shared" si="127"/>
      </c>
      <c r="B287" s="149">
        <f t="shared" si="128"/>
      </c>
      <c r="C287" s="150">
        <f t="shared" si="125"/>
      </c>
      <c r="D287" s="149">
        <f t="shared" si="126"/>
      </c>
      <c r="E287" s="149">
        <f t="shared" si="129"/>
      </c>
      <c r="F287" s="151">
        <v>0</v>
      </c>
      <c r="G287" s="149">
        <f t="shared" si="130"/>
      </c>
      <c r="H287" s="161"/>
      <c r="I287" s="146"/>
      <c r="J287" s="86"/>
      <c r="K287" s="90">
        <f t="shared" si="124"/>
      </c>
      <c r="L287" s="153">
        <f t="shared" si="131"/>
      </c>
      <c r="M287" s="153">
        <f t="shared" si="132"/>
      </c>
      <c r="N287" s="153">
        <f t="shared" si="133"/>
      </c>
      <c r="O287" s="86"/>
      <c r="P287" s="86"/>
      <c r="Q287" s="158"/>
    </row>
    <row r="288" spans="1:17" ht="15.75">
      <c r="A288" s="148">
        <f aca="true" t="shared" si="134" ref="A288:A303">IF(G287=0,"",1+A287)</f>
      </c>
      <c r="B288" s="149">
        <f aca="true" t="shared" si="135" ref="B288:B303">IF(G287=0,"",ROUND(G287,2))</f>
      </c>
      <c r="C288" s="150">
        <f t="shared" si="125"/>
      </c>
      <c r="D288" s="149">
        <f t="shared" si="126"/>
      </c>
      <c r="E288" s="149">
        <f aca="true" t="shared" si="136" ref="E288:E303">IF(G287=0,"",C288-D288+F288)</f>
      </c>
      <c r="F288" s="151">
        <v>0</v>
      </c>
      <c r="G288" s="149">
        <f aca="true" t="shared" si="137" ref="G288:G303">IF(G287=0,"",ROUND(B288-E288,2))</f>
      </c>
      <c r="H288" s="161"/>
      <c r="I288" s="146"/>
      <c r="J288" s="86"/>
      <c r="K288" s="90">
        <f t="shared" si="124"/>
      </c>
      <c r="L288" s="153">
        <f aca="true" t="shared" si="138" ref="L288:L303">IF(G287=0,"",C288+F288+L287)</f>
      </c>
      <c r="M288" s="153">
        <f aca="true" t="shared" si="139" ref="M288:M303">IF(G287=0,"",M287+D288)</f>
      </c>
      <c r="N288" s="153">
        <f aca="true" t="shared" si="140" ref="N288:N303">IF(G287=0,"",L288-M288)</f>
      </c>
      <c r="O288" s="86"/>
      <c r="P288" s="86"/>
      <c r="Q288" s="158"/>
    </row>
    <row r="289" spans="1:17" ht="15.75">
      <c r="A289" s="148">
        <f t="shared" si="134"/>
      </c>
      <c r="B289" s="149">
        <f t="shared" si="135"/>
      </c>
      <c r="C289" s="150">
        <f t="shared" si="125"/>
      </c>
      <c r="D289" s="149">
        <f t="shared" si="126"/>
      </c>
      <c r="E289" s="149">
        <f t="shared" si="136"/>
      </c>
      <c r="F289" s="151">
        <v>0</v>
      </c>
      <c r="G289" s="149">
        <f t="shared" si="137"/>
      </c>
      <c r="H289" s="161"/>
      <c r="I289" s="146"/>
      <c r="J289" s="86"/>
      <c r="K289" s="90">
        <f t="shared" si="124"/>
      </c>
      <c r="L289" s="153">
        <f t="shared" si="138"/>
      </c>
      <c r="M289" s="153">
        <f t="shared" si="139"/>
      </c>
      <c r="N289" s="153">
        <f t="shared" si="140"/>
      </c>
      <c r="O289" s="86"/>
      <c r="P289" s="86"/>
      <c r="Q289" s="158"/>
    </row>
    <row r="290" spans="1:17" ht="15.75">
      <c r="A290" s="148">
        <f t="shared" si="134"/>
      </c>
      <c r="B290" s="149">
        <f t="shared" si="135"/>
      </c>
      <c r="C290" s="150">
        <f t="shared" si="125"/>
      </c>
      <c r="D290" s="149">
        <f t="shared" si="126"/>
      </c>
      <c r="E290" s="149">
        <f t="shared" si="136"/>
      </c>
      <c r="F290" s="151">
        <v>0</v>
      </c>
      <c r="G290" s="149">
        <f t="shared" si="137"/>
      </c>
      <c r="H290" s="161"/>
      <c r="I290" s="146"/>
      <c r="J290" s="86"/>
      <c r="K290" s="90">
        <f t="shared" si="124"/>
      </c>
      <c r="L290" s="153">
        <f t="shared" si="138"/>
      </c>
      <c r="M290" s="153">
        <f t="shared" si="139"/>
      </c>
      <c r="N290" s="153">
        <f t="shared" si="140"/>
      </c>
      <c r="O290" s="86"/>
      <c r="P290" s="86"/>
      <c r="Q290" s="158"/>
    </row>
    <row r="291" spans="1:17" ht="15.75">
      <c r="A291" s="148">
        <f t="shared" si="134"/>
      </c>
      <c r="B291" s="149">
        <f t="shared" si="135"/>
      </c>
      <c r="C291" s="150">
        <f t="shared" si="125"/>
      </c>
      <c r="D291" s="149">
        <f t="shared" si="126"/>
      </c>
      <c r="E291" s="149">
        <f t="shared" si="136"/>
      </c>
      <c r="F291" s="151">
        <v>0</v>
      </c>
      <c r="G291" s="149">
        <f t="shared" si="137"/>
      </c>
      <c r="H291" s="161"/>
      <c r="I291" s="146"/>
      <c r="J291" s="86"/>
      <c r="K291" s="90">
        <f t="shared" si="124"/>
      </c>
      <c r="L291" s="153">
        <f t="shared" si="138"/>
      </c>
      <c r="M291" s="153">
        <f t="shared" si="139"/>
      </c>
      <c r="N291" s="153">
        <f t="shared" si="140"/>
      </c>
      <c r="O291" s="86"/>
      <c r="P291" s="86"/>
      <c r="Q291" s="158"/>
    </row>
    <row r="292" spans="1:17" ht="15.75">
      <c r="A292" s="148">
        <f t="shared" si="134"/>
      </c>
      <c r="B292" s="149">
        <f t="shared" si="135"/>
      </c>
      <c r="C292" s="150">
        <f t="shared" si="125"/>
      </c>
      <c r="D292" s="149">
        <f t="shared" si="126"/>
      </c>
      <c r="E292" s="149">
        <f t="shared" si="136"/>
      </c>
      <c r="F292" s="151">
        <v>0</v>
      </c>
      <c r="G292" s="149">
        <f t="shared" si="137"/>
      </c>
      <c r="H292" s="161"/>
      <c r="I292" s="146"/>
      <c r="J292" s="86"/>
      <c r="K292" s="90">
        <f t="shared" si="124"/>
      </c>
      <c r="L292" s="153">
        <f t="shared" si="138"/>
      </c>
      <c r="M292" s="153">
        <f t="shared" si="139"/>
      </c>
      <c r="N292" s="153">
        <f t="shared" si="140"/>
      </c>
      <c r="O292" s="86"/>
      <c r="P292" s="86"/>
      <c r="Q292" s="158"/>
    </row>
    <row r="293" spans="1:17" ht="15.75">
      <c r="A293" s="148">
        <f t="shared" si="134"/>
      </c>
      <c r="B293" s="149">
        <f t="shared" si="135"/>
      </c>
      <c r="C293" s="150">
        <f t="shared" si="125"/>
      </c>
      <c r="D293" s="149">
        <f t="shared" si="126"/>
      </c>
      <c r="E293" s="149">
        <f t="shared" si="136"/>
      </c>
      <c r="F293" s="151">
        <v>0</v>
      </c>
      <c r="G293" s="149">
        <f t="shared" si="137"/>
      </c>
      <c r="H293" s="161"/>
      <c r="I293" s="146"/>
      <c r="J293" s="86"/>
      <c r="K293" s="90">
        <f t="shared" si="124"/>
      </c>
      <c r="L293" s="153">
        <f t="shared" si="138"/>
      </c>
      <c r="M293" s="153">
        <f t="shared" si="139"/>
      </c>
      <c r="N293" s="153">
        <f t="shared" si="140"/>
      </c>
      <c r="O293" s="86"/>
      <c r="P293" s="86"/>
      <c r="Q293" s="158"/>
    </row>
    <row r="294" spans="1:17" ht="15.75">
      <c r="A294" s="148">
        <f t="shared" si="134"/>
      </c>
      <c r="B294" s="149">
        <f t="shared" si="135"/>
      </c>
      <c r="C294" s="150">
        <f t="shared" si="125"/>
      </c>
      <c r="D294" s="149">
        <f t="shared" si="126"/>
      </c>
      <c r="E294" s="149">
        <f t="shared" si="136"/>
      </c>
      <c r="F294" s="151">
        <v>0</v>
      </c>
      <c r="G294" s="149">
        <f t="shared" si="137"/>
      </c>
      <c r="H294" s="161"/>
      <c r="I294" s="146"/>
      <c r="J294" s="86"/>
      <c r="K294" s="90">
        <f t="shared" si="124"/>
      </c>
      <c r="L294" s="153">
        <f t="shared" si="138"/>
      </c>
      <c r="M294" s="153">
        <f t="shared" si="139"/>
      </c>
      <c r="N294" s="153">
        <f t="shared" si="140"/>
      </c>
      <c r="O294" s="86"/>
      <c r="P294" s="86"/>
      <c r="Q294" s="158"/>
    </row>
    <row r="295" spans="1:17" ht="15.75">
      <c r="A295" s="148">
        <f t="shared" si="134"/>
      </c>
      <c r="B295" s="149">
        <f t="shared" si="135"/>
      </c>
      <c r="C295" s="150">
        <f t="shared" si="125"/>
      </c>
      <c r="D295" s="149">
        <f t="shared" si="126"/>
      </c>
      <c r="E295" s="149">
        <f t="shared" si="136"/>
      </c>
      <c r="F295" s="151">
        <v>0</v>
      </c>
      <c r="G295" s="149">
        <f t="shared" si="137"/>
      </c>
      <c r="H295" s="161"/>
      <c r="I295" s="146"/>
      <c r="J295" s="86"/>
      <c r="K295" s="90">
        <f t="shared" si="124"/>
      </c>
      <c r="L295" s="153">
        <f t="shared" si="138"/>
      </c>
      <c r="M295" s="153">
        <f t="shared" si="139"/>
      </c>
      <c r="N295" s="153">
        <f t="shared" si="140"/>
      </c>
      <c r="O295" s="86"/>
      <c r="P295" s="86"/>
      <c r="Q295" s="158"/>
    </row>
    <row r="296" spans="1:17" ht="15.75">
      <c r="A296" s="148">
        <f t="shared" si="134"/>
      </c>
      <c r="B296" s="149">
        <f t="shared" si="135"/>
      </c>
      <c r="C296" s="150">
        <f t="shared" si="125"/>
      </c>
      <c r="D296" s="149">
        <f t="shared" si="126"/>
      </c>
      <c r="E296" s="149">
        <f t="shared" si="136"/>
      </c>
      <c r="F296" s="151">
        <v>0</v>
      </c>
      <c r="G296" s="149">
        <f t="shared" si="137"/>
      </c>
      <c r="H296" s="161"/>
      <c r="I296" s="146"/>
      <c r="J296" s="86"/>
      <c r="K296" s="90">
        <f t="shared" si="124"/>
      </c>
      <c r="L296" s="153">
        <f t="shared" si="138"/>
      </c>
      <c r="M296" s="153">
        <f t="shared" si="139"/>
      </c>
      <c r="N296" s="153">
        <f t="shared" si="140"/>
      </c>
      <c r="O296" s="86"/>
      <c r="P296" s="86"/>
      <c r="Q296" s="158"/>
    </row>
    <row r="297" spans="1:17" ht="15.75">
      <c r="A297" s="148">
        <f t="shared" si="134"/>
      </c>
      <c r="B297" s="149">
        <f t="shared" si="135"/>
      </c>
      <c r="C297" s="150">
        <f t="shared" si="125"/>
      </c>
      <c r="D297" s="149">
        <f t="shared" si="126"/>
      </c>
      <c r="E297" s="149">
        <f t="shared" si="136"/>
      </c>
      <c r="F297" s="151">
        <v>0</v>
      </c>
      <c r="G297" s="149">
        <f t="shared" si="137"/>
      </c>
      <c r="H297" s="161"/>
      <c r="I297" s="146"/>
      <c r="J297" s="86"/>
      <c r="K297" s="90">
        <f t="shared" si="124"/>
      </c>
      <c r="L297" s="153">
        <f t="shared" si="138"/>
      </c>
      <c r="M297" s="153">
        <f t="shared" si="139"/>
      </c>
      <c r="N297" s="153">
        <f t="shared" si="140"/>
      </c>
      <c r="O297" s="86"/>
      <c r="P297" s="86"/>
      <c r="Q297" s="158"/>
    </row>
    <row r="298" spans="1:17" ht="15.75">
      <c r="A298" s="148">
        <f t="shared" si="134"/>
      </c>
      <c r="B298" s="149">
        <f t="shared" si="135"/>
      </c>
      <c r="C298" s="150">
        <f t="shared" si="125"/>
      </c>
      <c r="D298" s="149">
        <f t="shared" si="126"/>
      </c>
      <c r="E298" s="149">
        <f t="shared" si="136"/>
      </c>
      <c r="F298" s="151">
        <v>0</v>
      </c>
      <c r="G298" s="149">
        <f t="shared" si="137"/>
      </c>
      <c r="H298" s="161"/>
      <c r="I298" s="146"/>
      <c r="J298" s="86"/>
      <c r="K298" s="90">
        <f t="shared" si="124"/>
      </c>
      <c r="L298" s="153">
        <f t="shared" si="138"/>
      </c>
      <c r="M298" s="153">
        <f t="shared" si="139"/>
      </c>
      <c r="N298" s="153">
        <f t="shared" si="140"/>
      </c>
      <c r="O298" s="86"/>
      <c r="P298" s="86"/>
      <c r="Q298" s="158"/>
    </row>
    <row r="299" spans="1:17" ht="15.75">
      <c r="A299" s="148">
        <f t="shared" si="134"/>
      </c>
      <c r="B299" s="149">
        <f t="shared" si="135"/>
      </c>
      <c r="C299" s="150">
        <f t="shared" si="125"/>
      </c>
      <c r="D299" s="149">
        <f t="shared" si="126"/>
      </c>
      <c r="E299" s="149">
        <f t="shared" si="136"/>
      </c>
      <c r="F299" s="151">
        <v>0</v>
      </c>
      <c r="G299" s="149">
        <f t="shared" si="137"/>
      </c>
      <c r="H299" s="161"/>
      <c r="I299" s="146"/>
      <c r="J299" s="86"/>
      <c r="K299" s="90">
        <f t="shared" si="124"/>
      </c>
      <c r="L299" s="153">
        <f t="shared" si="138"/>
      </c>
      <c r="M299" s="153">
        <f t="shared" si="139"/>
      </c>
      <c r="N299" s="153">
        <f t="shared" si="140"/>
      </c>
      <c r="O299" s="86"/>
      <c r="P299" s="86"/>
      <c r="Q299" s="158"/>
    </row>
    <row r="300" spans="1:17" ht="15.75">
      <c r="A300" s="148">
        <f t="shared" si="134"/>
      </c>
      <c r="B300" s="149">
        <f t="shared" si="135"/>
      </c>
      <c r="C300" s="150">
        <f t="shared" si="125"/>
      </c>
      <c r="D300" s="149">
        <f t="shared" si="126"/>
      </c>
      <c r="E300" s="149">
        <f t="shared" si="136"/>
      </c>
      <c r="F300" s="151">
        <v>0</v>
      </c>
      <c r="G300" s="149">
        <f t="shared" si="137"/>
      </c>
      <c r="H300" s="161"/>
      <c r="I300" s="146"/>
      <c r="J300" s="86"/>
      <c r="K300" s="90">
        <f t="shared" si="124"/>
      </c>
      <c r="L300" s="153">
        <f t="shared" si="138"/>
      </c>
      <c r="M300" s="153">
        <f t="shared" si="139"/>
      </c>
      <c r="N300" s="153">
        <f t="shared" si="140"/>
      </c>
      <c r="O300" s="86"/>
      <c r="P300" s="86"/>
      <c r="Q300" s="158"/>
    </row>
    <row r="301" spans="1:17" ht="15.75">
      <c r="A301" s="148">
        <f t="shared" si="134"/>
      </c>
      <c r="B301" s="149">
        <f t="shared" si="135"/>
      </c>
      <c r="C301" s="150">
        <f t="shared" si="125"/>
      </c>
      <c r="D301" s="149">
        <f t="shared" si="126"/>
      </c>
      <c r="E301" s="149">
        <f t="shared" si="136"/>
      </c>
      <c r="F301" s="151">
        <v>0</v>
      </c>
      <c r="G301" s="149">
        <f t="shared" si="137"/>
      </c>
      <c r="H301" s="161"/>
      <c r="I301" s="146"/>
      <c r="J301" s="86"/>
      <c r="K301" s="90">
        <f t="shared" si="124"/>
      </c>
      <c r="L301" s="153">
        <f t="shared" si="138"/>
      </c>
      <c r="M301" s="153">
        <f t="shared" si="139"/>
      </c>
      <c r="N301" s="153">
        <f t="shared" si="140"/>
      </c>
      <c r="O301" s="86"/>
      <c r="P301" s="86"/>
      <c r="Q301" s="158"/>
    </row>
    <row r="302" spans="1:17" ht="15.75">
      <c r="A302" s="148">
        <f t="shared" si="134"/>
      </c>
      <c r="B302" s="149">
        <f t="shared" si="135"/>
      </c>
      <c r="C302" s="150">
        <f t="shared" si="125"/>
      </c>
      <c r="D302" s="149">
        <f t="shared" si="126"/>
      </c>
      <c r="E302" s="149">
        <f t="shared" si="136"/>
      </c>
      <c r="F302" s="151">
        <v>0</v>
      </c>
      <c r="G302" s="149">
        <f t="shared" si="137"/>
      </c>
      <c r="H302" s="161"/>
      <c r="I302" s="146"/>
      <c r="J302" s="86"/>
      <c r="K302" s="90">
        <f t="shared" si="124"/>
      </c>
      <c r="L302" s="153">
        <f t="shared" si="138"/>
      </c>
      <c r="M302" s="153">
        <f t="shared" si="139"/>
      </c>
      <c r="N302" s="153">
        <f t="shared" si="140"/>
      </c>
      <c r="O302" s="86"/>
      <c r="P302" s="86"/>
      <c r="Q302" s="158"/>
    </row>
    <row r="303" spans="1:17" ht="15.75">
      <c r="A303" s="148">
        <f t="shared" si="134"/>
      </c>
      <c r="B303" s="149">
        <f t="shared" si="135"/>
      </c>
      <c r="C303" s="150">
        <f t="shared" si="125"/>
      </c>
      <c r="D303" s="149">
        <f t="shared" si="126"/>
      </c>
      <c r="E303" s="149">
        <f t="shared" si="136"/>
      </c>
      <c r="F303" s="151">
        <v>0</v>
      </c>
      <c r="G303" s="149">
        <f t="shared" si="137"/>
      </c>
      <c r="H303" s="161"/>
      <c r="I303" s="146"/>
      <c r="J303" s="86"/>
      <c r="K303" s="90">
        <f t="shared" si="124"/>
      </c>
      <c r="L303" s="153">
        <f t="shared" si="138"/>
      </c>
      <c r="M303" s="153">
        <f t="shared" si="139"/>
      </c>
      <c r="N303" s="153">
        <f t="shared" si="140"/>
      </c>
      <c r="O303" s="86"/>
      <c r="P303" s="86"/>
      <c r="Q303" s="158"/>
    </row>
    <row r="304" spans="1:17" ht="15.75">
      <c r="A304" s="148">
        <f aca="true" t="shared" si="141" ref="A304:A319">IF(G303=0,"",1+A303)</f>
      </c>
      <c r="B304" s="149">
        <f aca="true" t="shared" si="142" ref="B304:B319">IF(G303=0,"",ROUND(G303,2))</f>
      </c>
      <c r="C304" s="150">
        <f t="shared" si="125"/>
      </c>
      <c r="D304" s="149">
        <f t="shared" si="126"/>
      </c>
      <c r="E304" s="149">
        <f aca="true" t="shared" si="143" ref="E304:E319">IF(G303=0,"",C304-D304+F304)</f>
      </c>
      <c r="F304" s="151">
        <v>0</v>
      </c>
      <c r="G304" s="149">
        <f aca="true" t="shared" si="144" ref="G304:G319">IF(G303=0,"",ROUND(B304-E304,2))</f>
      </c>
      <c r="H304" s="161"/>
      <c r="I304" s="146"/>
      <c r="J304" s="86"/>
      <c r="K304" s="90">
        <f t="shared" si="124"/>
      </c>
      <c r="L304" s="153">
        <f aca="true" t="shared" si="145" ref="L304:L319">IF(G303=0,"",C304+F304+L303)</f>
      </c>
      <c r="M304" s="153">
        <f aca="true" t="shared" si="146" ref="M304:M319">IF(G303=0,"",M303+D304)</f>
      </c>
      <c r="N304" s="153">
        <f aca="true" t="shared" si="147" ref="N304:N319">IF(G303=0,"",L304-M304)</f>
      </c>
      <c r="O304" s="86"/>
      <c r="P304" s="86"/>
      <c r="Q304" s="158"/>
    </row>
    <row r="305" spans="1:17" ht="15.75">
      <c r="A305" s="148">
        <f t="shared" si="141"/>
      </c>
      <c r="B305" s="149">
        <f t="shared" si="142"/>
      </c>
      <c r="C305" s="150">
        <f t="shared" si="125"/>
      </c>
      <c r="D305" s="149">
        <f t="shared" si="126"/>
      </c>
      <c r="E305" s="149">
        <f t="shared" si="143"/>
      </c>
      <c r="F305" s="151">
        <v>0</v>
      </c>
      <c r="G305" s="149">
        <f t="shared" si="144"/>
      </c>
      <c r="H305" s="161"/>
      <c r="I305" s="146"/>
      <c r="J305" s="86"/>
      <c r="K305" s="90">
        <f t="shared" si="124"/>
      </c>
      <c r="L305" s="153">
        <f t="shared" si="145"/>
      </c>
      <c r="M305" s="153">
        <f t="shared" si="146"/>
      </c>
      <c r="N305" s="153">
        <f t="shared" si="147"/>
      </c>
      <c r="O305" s="86"/>
      <c r="P305" s="86"/>
      <c r="Q305" s="158"/>
    </row>
    <row r="306" spans="1:17" ht="15.75">
      <c r="A306" s="148">
        <f t="shared" si="141"/>
      </c>
      <c r="B306" s="149">
        <f t="shared" si="142"/>
      </c>
      <c r="C306" s="150">
        <f t="shared" si="125"/>
      </c>
      <c r="D306" s="149">
        <f t="shared" si="126"/>
      </c>
      <c r="E306" s="149">
        <f t="shared" si="143"/>
      </c>
      <c r="F306" s="151">
        <v>0</v>
      </c>
      <c r="G306" s="149">
        <f t="shared" si="144"/>
      </c>
      <c r="H306" s="161"/>
      <c r="I306" s="146"/>
      <c r="J306" s="86"/>
      <c r="K306" s="90">
        <f t="shared" si="124"/>
      </c>
      <c r="L306" s="153">
        <f t="shared" si="145"/>
      </c>
      <c r="M306" s="153">
        <f t="shared" si="146"/>
      </c>
      <c r="N306" s="153">
        <f t="shared" si="147"/>
      </c>
      <c r="O306" s="86"/>
      <c r="P306" s="86"/>
      <c r="Q306" s="158"/>
    </row>
    <row r="307" spans="1:17" ht="15.75">
      <c r="A307" s="148">
        <f t="shared" si="141"/>
      </c>
      <c r="B307" s="149">
        <f t="shared" si="142"/>
      </c>
      <c r="C307" s="150">
        <f t="shared" si="125"/>
      </c>
      <c r="D307" s="149">
        <f t="shared" si="126"/>
      </c>
      <c r="E307" s="149">
        <f t="shared" si="143"/>
      </c>
      <c r="F307" s="151">
        <v>0</v>
      </c>
      <c r="G307" s="149">
        <f t="shared" si="144"/>
      </c>
      <c r="H307" s="161"/>
      <c r="I307" s="146"/>
      <c r="J307" s="86"/>
      <c r="K307" s="90">
        <f t="shared" si="124"/>
      </c>
      <c r="L307" s="153">
        <f t="shared" si="145"/>
      </c>
      <c r="M307" s="153">
        <f t="shared" si="146"/>
      </c>
      <c r="N307" s="153">
        <f t="shared" si="147"/>
      </c>
      <c r="O307" s="86"/>
      <c r="P307" s="86"/>
      <c r="Q307" s="158"/>
    </row>
    <row r="308" spans="1:17" ht="15.75">
      <c r="A308" s="148">
        <f t="shared" si="141"/>
      </c>
      <c r="B308" s="149">
        <f t="shared" si="142"/>
      </c>
      <c r="C308" s="150">
        <f t="shared" si="125"/>
      </c>
      <c r="D308" s="149">
        <f t="shared" si="126"/>
      </c>
      <c r="E308" s="149">
        <f t="shared" si="143"/>
      </c>
      <c r="F308" s="151">
        <v>0</v>
      </c>
      <c r="G308" s="149">
        <f t="shared" si="144"/>
      </c>
      <c r="H308" s="161"/>
      <c r="I308" s="146"/>
      <c r="J308" s="86"/>
      <c r="K308" s="90">
        <f t="shared" si="124"/>
      </c>
      <c r="L308" s="153">
        <f t="shared" si="145"/>
      </c>
      <c r="M308" s="153">
        <f t="shared" si="146"/>
      </c>
      <c r="N308" s="153">
        <f t="shared" si="147"/>
      </c>
      <c r="O308" s="86"/>
      <c r="P308" s="86"/>
      <c r="Q308" s="158"/>
    </row>
    <row r="309" spans="1:17" ht="15.75">
      <c r="A309" s="148">
        <f t="shared" si="141"/>
      </c>
      <c r="B309" s="149">
        <f t="shared" si="142"/>
      </c>
      <c r="C309" s="150">
        <f t="shared" si="125"/>
      </c>
      <c r="D309" s="149">
        <f t="shared" si="126"/>
      </c>
      <c r="E309" s="149">
        <f t="shared" si="143"/>
      </c>
      <c r="F309" s="151">
        <v>0</v>
      </c>
      <c r="G309" s="149">
        <f t="shared" si="144"/>
      </c>
      <c r="H309" s="161"/>
      <c r="I309" s="146"/>
      <c r="J309" s="86"/>
      <c r="K309" s="90">
        <f t="shared" si="124"/>
      </c>
      <c r="L309" s="153">
        <f t="shared" si="145"/>
      </c>
      <c r="M309" s="153">
        <f t="shared" si="146"/>
      </c>
      <c r="N309" s="153">
        <f t="shared" si="147"/>
      </c>
      <c r="O309" s="86"/>
      <c r="P309" s="86"/>
      <c r="Q309" s="158"/>
    </row>
    <row r="310" spans="1:17" ht="15.75">
      <c r="A310" s="148">
        <f t="shared" si="141"/>
      </c>
      <c r="B310" s="149">
        <f t="shared" si="142"/>
      </c>
      <c r="C310" s="150">
        <f t="shared" si="125"/>
      </c>
      <c r="D310" s="149">
        <f t="shared" si="126"/>
      </c>
      <c r="E310" s="149">
        <f t="shared" si="143"/>
      </c>
      <c r="F310" s="151">
        <v>0</v>
      </c>
      <c r="G310" s="149">
        <f t="shared" si="144"/>
      </c>
      <c r="H310" s="161"/>
      <c r="I310" s="146"/>
      <c r="J310" s="86"/>
      <c r="K310" s="90">
        <f t="shared" si="124"/>
      </c>
      <c r="L310" s="153">
        <f t="shared" si="145"/>
      </c>
      <c r="M310" s="153">
        <f t="shared" si="146"/>
      </c>
      <c r="N310" s="153">
        <f t="shared" si="147"/>
      </c>
      <c r="O310" s="86"/>
      <c r="P310" s="86"/>
      <c r="Q310" s="158"/>
    </row>
    <row r="311" spans="1:17" ht="15.75">
      <c r="A311" s="148">
        <f t="shared" si="141"/>
      </c>
      <c r="B311" s="149">
        <f t="shared" si="142"/>
      </c>
      <c r="C311" s="150">
        <f t="shared" si="125"/>
      </c>
      <c r="D311" s="149">
        <f t="shared" si="126"/>
      </c>
      <c r="E311" s="149">
        <f t="shared" si="143"/>
      </c>
      <c r="F311" s="151">
        <v>0</v>
      </c>
      <c r="G311" s="149">
        <f t="shared" si="144"/>
      </c>
      <c r="H311" s="161"/>
      <c r="I311" s="146"/>
      <c r="J311" s="86"/>
      <c r="K311" s="90">
        <f t="shared" si="124"/>
      </c>
      <c r="L311" s="153">
        <f t="shared" si="145"/>
      </c>
      <c r="M311" s="153">
        <f t="shared" si="146"/>
      </c>
      <c r="N311" s="153">
        <f t="shared" si="147"/>
      </c>
      <c r="O311" s="86"/>
      <c r="P311" s="86"/>
      <c r="Q311" s="158"/>
    </row>
    <row r="312" spans="1:17" ht="15.75">
      <c r="A312" s="148">
        <f t="shared" si="141"/>
      </c>
      <c r="B312" s="149">
        <f t="shared" si="142"/>
      </c>
      <c r="C312" s="150">
        <f t="shared" si="125"/>
      </c>
      <c r="D312" s="149">
        <f t="shared" si="126"/>
      </c>
      <c r="E312" s="149">
        <f t="shared" si="143"/>
      </c>
      <c r="F312" s="151">
        <v>0</v>
      </c>
      <c r="G312" s="149">
        <f t="shared" si="144"/>
      </c>
      <c r="H312" s="161"/>
      <c r="I312" s="146"/>
      <c r="J312" s="86"/>
      <c r="K312" s="90">
        <f t="shared" si="124"/>
      </c>
      <c r="L312" s="153">
        <f t="shared" si="145"/>
      </c>
      <c r="M312" s="153">
        <f t="shared" si="146"/>
      </c>
      <c r="N312" s="153">
        <f t="shared" si="147"/>
      </c>
      <c r="O312" s="86"/>
      <c r="P312" s="86"/>
      <c r="Q312" s="158"/>
    </row>
    <row r="313" spans="1:17" ht="15.75">
      <c r="A313" s="148">
        <f t="shared" si="141"/>
      </c>
      <c r="B313" s="149">
        <f t="shared" si="142"/>
      </c>
      <c r="C313" s="150">
        <f t="shared" si="125"/>
      </c>
      <c r="D313" s="149">
        <f t="shared" si="126"/>
      </c>
      <c r="E313" s="149">
        <f t="shared" si="143"/>
      </c>
      <c r="F313" s="151">
        <v>0</v>
      </c>
      <c r="G313" s="149">
        <f t="shared" si="144"/>
      </c>
      <c r="H313" s="161"/>
      <c r="I313" s="146"/>
      <c r="J313" s="86"/>
      <c r="K313" s="90">
        <f t="shared" si="124"/>
      </c>
      <c r="L313" s="153">
        <f t="shared" si="145"/>
      </c>
      <c r="M313" s="153">
        <f t="shared" si="146"/>
      </c>
      <c r="N313" s="153">
        <f t="shared" si="147"/>
      </c>
      <c r="O313" s="86"/>
      <c r="P313" s="86"/>
      <c r="Q313" s="158"/>
    </row>
    <row r="314" spans="1:17" ht="15.75">
      <c r="A314" s="148">
        <f t="shared" si="141"/>
      </c>
      <c r="B314" s="149">
        <f t="shared" si="142"/>
      </c>
      <c r="C314" s="150">
        <f t="shared" si="125"/>
      </c>
      <c r="D314" s="149">
        <f t="shared" si="126"/>
      </c>
      <c r="E314" s="149">
        <f t="shared" si="143"/>
      </c>
      <c r="F314" s="151">
        <v>0</v>
      </c>
      <c r="G314" s="149">
        <f t="shared" si="144"/>
      </c>
      <c r="H314" s="161"/>
      <c r="I314" s="146"/>
      <c r="J314" s="86"/>
      <c r="K314" s="90">
        <f t="shared" si="124"/>
      </c>
      <c r="L314" s="153">
        <f t="shared" si="145"/>
      </c>
      <c r="M314" s="153">
        <f t="shared" si="146"/>
      </c>
      <c r="N314" s="153">
        <f t="shared" si="147"/>
      </c>
      <c r="O314" s="86"/>
      <c r="P314" s="86"/>
      <c r="Q314" s="158"/>
    </row>
    <row r="315" spans="1:17" ht="15.75">
      <c r="A315" s="148">
        <f t="shared" si="141"/>
      </c>
      <c r="B315" s="149">
        <f t="shared" si="142"/>
      </c>
      <c r="C315" s="150">
        <f t="shared" si="125"/>
      </c>
      <c r="D315" s="149">
        <f t="shared" si="126"/>
      </c>
      <c r="E315" s="149">
        <f t="shared" si="143"/>
      </c>
      <c r="F315" s="151">
        <v>0</v>
      </c>
      <c r="G315" s="149">
        <f t="shared" si="144"/>
      </c>
      <c r="H315" s="161"/>
      <c r="I315" s="146"/>
      <c r="J315" s="86"/>
      <c r="K315" s="90">
        <f t="shared" si="124"/>
      </c>
      <c r="L315" s="153">
        <f t="shared" si="145"/>
      </c>
      <c r="M315" s="153">
        <f t="shared" si="146"/>
      </c>
      <c r="N315" s="153">
        <f t="shared" si="147"/>
      </c>
      <c r="O315" s="86"/>
      <c r="P315" s="86"/>
      <c r="Q315" s="158"/>
    </row>
    <row r="316" spans="1:17" ht="15.75">
      <c r="A316" s="148">
        <f t="shared" si="141"/>
      </c>
      <c r="B316" s="149">
        <f t="shared" si="142"/>
      </c>
      <c r="C316" s="150">
        <f t="shared" si="125"/>
      </c>
      <c r="D316" s="149">
        <f t="shared" si="126"/>
      </c>
      <c r="E316" s="149">
        <f t="shared" si="143"/>
      </c>
      <c r="F316" s="151">
        <v>0</v>
      </c>
      <c r="G316" s="149">
        <f t="shared" si="144"/>
      </c>
      <c r="H316" s="161"/>
      <c r="I316" s="146"/>
      <c r="J316" s="86"/>
      <c r="K316" s="90">
        <f t="shared" si="124"/>
      </c>
      <c r="L316" s="153">
        <f t="shared" si="145"/>
      </c>
      <c r="M316" s="153">
        <f t="shared" si="146"/>
      </c>
      <c r="N316" s="153">
        <f t="shared" si="147"/>
      </c>
      <c r="O316" s="86"/>
      <c r="P316" s="86"/>
      <c r="Q316" s="158"/>
    </row>
    <row r="317" spans="1:17" ht="15.75">
      <c r="A317" s="148">
        <f t="shared" si="141"/>
      </c>
      <c r="B317" s="149">
        <f t="shared" si="142"/>
      </c>
      <c r="C317" s="150">
        <f t="shared" si="125"/>
      </c>
      <c r="D317" s="149">
        <f t="shared" si="126"/>
      </c>
      <c r="E317" s="149">
        <f t="shared" si="143"/>
      </c>
      <c r="F317" s="151">
        <v>0</v>
      </c>
      <c r="G317" s="149">
        <f t="shared" si="144"/>
      </c>
      <c r="H317" s="161"/>
      <c r="I317" s="146"/>
      <c r="J317" s="86"/>
      <c r="K317" s="90">
        <f t="shared" si="124"/>
      </c>
      <c r="L317" s="153">
        <f t="shared" si="145"/>
      </c>
      <c r="M317" s="153">
        <f t="shared" si="146"/>
      </c>
      <c r="N317" s="153">
        <f t="shared" si="147"/>
      </c>
      <c r="O317" s="86"/>
      <c r="P317" s="86"/>
      <c r="Q317" s="158"/>
    </row>
    <row r="318" spans="1:17" ht="15.75">
      <c r="A318" s="148">
        <f t="shared" si="141"/>
      </c>
      <c r="B318" s="149">
        <f t="shared" si="142"/>
      </c>
      <c r="C318" s="150">
        <f t="shared" si="125"/>
      </c>
      <c r="D318" s="149">
        <f t="shared" si="126"/>
      </c>
      <c r="E318" s="149">
        <f t="shared" si="143"/>
      </c>
      <c r="F318" s="151">
        <v>0</v>
      </c>
      <c r="G318" s="149">
        <f t="shared" si="144"/>
      </c>
      <c r="H318" s="161"/>
      <c r="I318" s="146"/>
      <c r="J318" s="86"/>
      <c r="K318" s="90">
        <f t="shared" si="124"/>
      </c>
      <c r="L318" s="153">
        <f t="shared" si="145"/>
      </c>
      <c r="M318" s="153">
        <f t="shared" si="146"/>
      </c>
      <c r="N318" s="153">
        <f t="shared" si="147"/>
      </c>
      <c r="O318" s="86"/>
      <c r="P318" s="86"/>
      <c r="Q318" s="158"/>
    </row>
    <row r="319" spans="1:17" ht="15.75">
      <c r="A319" s="148">
        <f t="shared" si="141"/>
      </c>
      <c r="B319" s="149">
        <f t="shared" si="142"/>
      </c>
      <c r="C319" s="150">
        <f t="shared" si="125"/>
      </c>
      <c r="D319" s="149">
        <f t="shared" si="126"/>
      </c>
      <c r="E319" s="149">
        <f t="shared" si="143"/>
      </c>
      <c r="F319" s="151">
        <v>0</v>
      </c>
      <c r="G319" s="149">
        <f t="shared" si="144"/>
      </c>
      <c r="H319" s="161"/>
      <c r="I319" s="146"/>
      <c r="J319" s="86"/>
      <c r="K319" s="90">
        <f t="shared" si="124"/>
      </c>
      <c r="L319" s="153">
        <f t="shared" si="145"/>
      </c>
      <c r="M319" s="153">
        <f t="shared" si="146"/>
      </c>
      <c r="N319" s="153">
        <f t="shared" si="147"/>
      </c>
      <c r="O319" s="86"/>
      <c r="P319" s="86"/>
      <c r="Q319" s="158"/>
    </row>
    <row r="320" spans="1:17" ht="15.75">
      <c r="A320" s="148">
        <f aca="true" t="shared" si="148" ref="A320:A335">IF(G319=0,"",1+A319)</f>
      </c>
      <c r="B320" s="149">
        <f aca="true" t="shared" si="149" ref="B320:B335">IF(G319=0,"",ROUND(G319,2))</f>
      </c>
      <c r="C320" s="150">
        <f t="shared" si="125"/>
      </c>
      <c r="D320" s="149">
        <f t="shared" si="126"/>
      </c>
      <c r="E320" s="149">
        <f aca="true" t="shared" si="150" ref="E320:E335">IF(G319=0,"",C320-D320+F320)</f>
      </c>
      <c r="F320" s="151">
        <v>0</v>
      </c>
      <c r="G320" s="149">
        <f aca="true" t="shared" si="151" ref="G320:G335">IF(G319=0,"",ROUND(B320-E320,2))</f>
      </c>
      <c r="H320" s="161"/>
      <c r="I320" s="146"/>
      <c r="J320" s="86"/>
      <c r="K320" s="90">
        <f t="shared" si="124"/>
      </c>
      <c r="L320" s="153">
        <f aca="true" t="shared" si="152" ref="L320:L335">IF(G319=0,"",C320+F320+L319)</f>
      </c>
      <c r="M320" s="153">
        <f aca="true" t="shared" si="153" ref="M320:M335">IF(G319=0,"",M319+D320)</f>
      </c>
      <c r="N320" s="153">
        <f aca="true" t="shared" si="154" ref="N320:N335">IF(G319=0,"",L320-M320)</f>
      </c>
      <c r="O320" s="86"/>
      <c r="P320" s="86"/>
      <c r="Q320" s="158"/>
    </row>
    <row r="321" spans="1:17" ht="15.75">
      <c r="A321" s="148">
        <f t="shared" si="148"/>
      </c>
      <c r="B321" s="149">
        <f t="shared" si="149"/>
      </c>
      <c r="C321" s="150">
        <f t="shared" si="125"/>
      </c>
      <c r="D321" s="149">
        <f t="shared" si="126"/>
      </c>
      <c r="E321" s="149">
        <f t="shared" si="150"/>
      </c>
      <c r="F321" s="151">
        <v>0</v>
      </c>
      <c r="G321" s="149">
        <f t="shared" si="151"/>
      </c>
      <c r="H321" s="161"/>
      <c r="I321" s="146"/>
      <c r="J321" s="86"/>
      <c r="K321" s="90">
        <f t="shared" si="124"/>
      </c>
      <c r="L321" s="153">
        <f t="shared" si="152"/>
      </c>
      <c r="M321" s="153">
        <f t="shared" si="153"/>
      </c>
      <c r="N321" s="153">
        <f t="shared" si="154"/>
      </c>
      <c r="O321" s="86"/>
      <c r="P321" s="86"/>
      <c r="Q321" s="158"/>
    </row>
    <row r="322" spans="1:17" ht="15.75">
      <c r="A322" s="148">
        <f t="shared" si="148"/>
      </c>
      <c r="B322" s="149">
        <f t="shared" si="149"/>
      </c>
      <c r="C322" s="150">
        <f t="shared" si="125"/>
      </c>
      <c r="D322" s="149">
        <f t="shared" si="126"/>
      </c>
      <c r="E322" s="149">
        <f t="shared" si="150"/>
      </c>
      <c r="F322" s="151">
        <v>0</v>
      </c>
      <c r="G322" s="149">
        <f t="shared" si="151"/>
      </c>
      <c r="H322" s="161"/>
      <c r="I322" s="146"/>
      <c r="J322" s="86"/>
      <c r="K322" s="90">
        <f t="shared" si="124"/>
      </c>
      <c r="L322" s="153">
        <f t="shared" si="152"/>
      </c>
      <c r="M322" s="153">
        <f t="shared" si="153"/>
      </c>
      <c r="N322" s="153">
        <f t="shared" si="154"/>
      </c>
      <c r="O322" s="86"/>
      <c r="P322" s="86"/>
      <c r="Q322" s="158"/>
    </row>
    <row r="323" spans="1:17" ht="15.75">
      <c r="A323" s="148">
        <f t="shared" si="148"/>
      </c>
      <c r="B323" s="149">
        <f t="shared" si="149"/>
      </c>
      <c r="C323" s="150">
        <f t="shared" si="125"/>
      </c>
      <c r="D323" s="149">
        <f t="shared" si="126"/>
      </c>
      <c r="E323" s="149">
        <f t="shared" si="150"/>
      </c>
      <c r="F323" s="151">
        <v>0</v>
      </c>
      <c r="G323" s="149">
        <f t="shared" si="151"/>
      </c>
      <c r="H323" s="161"/>
      <c r="I323" s="146"/>
      <c r="J323" s="86"/>
      <c r="K323" s="90">
        <f t="shared" si="124"/>
      </c>
      <c r="L323" s="153">
        <f t="shared" si="152"/>
      </c>
      <c r="M323" s="153">
        <f t="shared" si="153"/>
      </c>
      <c r="N323" s="153">
        <f t="shared" si="154"/>
      </c>
      <c r="O323" s="86"/>
      <c r="P323" s="86"/>
      <c r="Q323" s="158"/>
    </row>
    <row r="324" spans="1:17" ht="15.75">
      <c r="A324" s="148">
        <f t="shared" si="148"/>
      </c>
      <c r="B324" s="149">
        <f t="shared" si="149"/>
      </c>
      <c r="C324" s="150">
        <f t="shared" si="125"/>
      </c>
      <c r="D324" s="149">
        <f t="shared" si="126"/>
      </c>
      <c r="E324" s="149">
        <f t="shared" si="150"/>
      </c>
      <c r="F324" s="151">
        <v>0</v>
      </c>
      <c r="G324" s="149">
        <f t="shared" si="151"/>
      </c>
      <c r="H324" s="161"/>
      <c r="I324" s="146"/>
      <c r="J324" s="86"/>
      <c r="K324" s="90">
        <f t="shared" si="124"/>
      </c>
      <c r="L324" s="153">
        <f t="shared" si="152"/>
      </c>
      <c r="M324" s="153">
        <f t="shared" si="153"/>
      </c>
      <c r="N324" s="153">
        <f t="shared" si="154"/>
      </c>
      <c r="O324" s="86"/>
      <c r="P324" s="86"/>
      <c r="Q324" s="158"/>
    </row>
    <row r="325" spans="1:17" ht="15.75">
      <c r="A325" s="148">
        <f t="shared" si="148"/>
      </c>
      <c r="B325" s="149">
        <f t="shared" si="149"/>
      </c>
      <c r="C325" s="150">
        <f t="shared" si="125"/>
      </c>
      <c r="D325" s="149">
        <f t="shared" si="126"/>
      </c>
      <c r="E325" s="149">
        <f t="shared" si="150"/>
      </c>
      <c r="F325" s="151">
        <v>0</v>
      </c>
      <c r="G325" s="149">
        <f t="shared" si="151"/>
      </c>
      <c r="H325" s="161"/>
      <c r="I325" s="146"/>
      <c r="J325" s="86"/>
      <c r="K325" s="90">
        <f t="shared" si="124"/>
      </c>
      <c r="L325" s="153">
        <f t="shared" si="152"/>
      </c>
      <c r="M325" s="153">
        <f t="shared" si="153"/>
      </c>
      <c r="N325" s="153">
        <f t="shared" si="154"/>
      </c>
      <c r="O325" s="86"/>
      <c r="P325" s="86"/>
      <c r="Q325" s="158"/>
    </row>
    <row r="326" spans="1:17" ht="15.75">
      <c r="A326" s="148">
        <f t="shared" si="148"/>
      </c>
      <c r="B326" s="149">
        <f t="shared" si="149"/>
      </c>
      <c r="C326" s="150">
        <f t="shared" si="125"/>
      </c>
      <c r="D326" s="149">
        <f t="shared" si="126"/>
      </c>
      <c r="E326" s="149">
        <f t="shared" si="150"/>
      </c>
      <c r="F326" s="151">
        <v>0</v>
      </c>
      <c r="G326" s="149">
        <f t="shared" si="151"/>
      </c>
      <c r="H326" s="161"/>
      <c r="I326" s="146"/>
      <c r="J326" s="86"/>
      <c r="K326" s="90">
        <f t="shared" si="124"/>
      </c>
      <c r="L326" s="153">
        <f t="shared" si="152"/>
      </c>
      <c r="M326" s="153">
        <f t="shared" si="153"/>
      </c>
      <c r="N326" s="153">
        <f t="shared" si="154"/>
      </c>
      <c r="O326" s="86"/>
      <c r="P326" s="86"/>
      <c r="Q326" s="158"/>
    </row>
    <row r="327" spans="1:17" ht="15.75">
      <c r="A327" s="148">
        <f t="shared" si="148"/>
      </c>
      <c r="B327" s="149">
        <f t="shared" si="149"/>
      </c>
      <c r="C327" s="150">
        <f t="shared" si="125"/>
      </c>
      <c r="D327" s="149">
        <f t="shared" si="126"/>
      </c>
      <c r="E327" s="149">
        <f t="shared" si="150"/>
      </c>
      <c r="F327" s="151">
        <v>0</v>
      </c>
      <c r="G327" s="149">
        <f t="shared" si="151"/>
      </c>
      <c r="H327" s="161"/>
      <c r="I327" s="146"/>
      <c r="J327" s="86"/>
      <c r="K327" s="90">
        <f t="shared" si="124"/>
      </c>
      <c r="L327" s="153">
        <f t="shared" si="152"/>
      </c>
      <c r="M327" s="153">
        <f t="shared" si="153"/>
      </c>
      <c r="N327" s="153">
        <f t="shared" si="154"/>
      </c>
      <c r="O327" s="86"/>
      <c r="P327" s="86"/>
      <c r="Q327" s="158"/>
    </row>
    <row r="328" spans="1:17" ht="15.75">
      <c r="A328" s="148">
        <f t="shared" si="148"/>
      </c>
      <c r="B328" s="149">
        <f t="shared" si="149"/>
      </c>
      <c r="C328" s="150">
        <f t="shared" si="125"/>
      </c>
      <c r="D328" s="149">
        <f t="shared" si="126"/>
      </c>
      <c r="E328" s="149">
        <f t="shared" si="150"/>
      </c>
      <c r="F328" s="151">
        <v>0</v>
      </c>
      <c r="G328" s="149">
        <f t="shared" si="151"/>
      </c>
      <c r="H328" s="161"/>
      <c r="I328" s="146"/>
      <c r="J328" s="86"/>
      <c r="K328" s="90">
        <f t="shared" si="124"/>
      </c>
      <c r="L328" s="153">
        <f t="shared" si="152"/>
      </c>
      <c r="M328" s="153">
        <f t="shared" si="153"/>
      </c>
      <c r="N328" s="153">
        <f t="shared" si="154"/>
      </c>
      <c r="O328" s="86"/>
      <c r="P328" s="86"/>
      <c r="Q328" s="158"/>
    </row>
    <row r="329" spans="1:17" ht="15.75">
      <c r="A329" s="148">
        <f t="shared" si="148"/>
      </c>
      <c r="B329" s="149">
        <f t="shared" si="149"/>
      </c>
      <c r="C329" s="150">
        <f t="shared" si="125"/>
      </c>
      <c r="D329" s="149">
        <f t="shared" si="126"/>
      </c>
      <c r="E329" s="149">
        <f t="shared" si="150"/>
      </c>
      <c r="F329" s="151">
        <v>0</v>
      </c>
      <c r="G329" s="149">
        <f t="shared" si="151"/>
      </c>
      <c r="H329" s="161"/>
      <c r="I329" s="146"/>
      <c r="J329" s="86"/>
      <c r="K329" s="90">
        <f t="shared" si="124"/>
      </c>
      <c r="L329" s="153">
        <f t="shared" si="152"/>
      </c>
      <c r="M329" s="153">
        <f t="shared" si="153"/>
      </c>
      <c r="N329" s="153">
        <f t="shared" si="154"/>
      </c>
      <c r="O329" s="86"/>
      <c r="P329" s="86"/>
      <c r="Q329" s="158"/>
    </row>
    <row r="330" spans="1:17" ht="15.75">
      <c r="A330" s="148">
        <f t="shared" si="148"/>
      </c>
      <c r="B330" s="149">
        <f t="shared" si="149"/>
      </c>
      <c r="C330" s="150">
        <f t="shared" si="125"/>
      </c>
      <c r="D330" s="149">
        <f t="shared" si="126"/>
      </c>
      <c r="E330" s="149">
        <f t="shared" si="150"/>
      </c>
      <c r="F330" s="151">
        <v>0</v>
      </c>
      <c r="G330" s="149">
        <f t="shared" si="151"/>
      </c>
      <c r="H330" s="161"/>
      <c r="I330" s="146"/>
      <c r="J330" s="86"/>
      <c r="K330" s="90">
        <f t="shared" si="124"/>
      </c>
      <c r="L330" s="153">
        <f t="shared" si="152"/>
      </c>
      <c r="M330" s="153">
        <f t="shared" si="153"/>
      </c>
      <c r="N330" s="153">
        <f t="shared" si="154"/>
      </c>
      <c r="O330" s="86"/>
      <c r="P330" s="86"/>
      <c r="Q330" s="158"/>
    </row>
    <row r="331" spans="1:17" ht="15.75">
      <c r="A331" s="148">
        <f t="shared" si="148"/>
      </c>
      <c r="B331" s="149">
        <f t="shared" si="149"/>
      </c>
      <c r="C331" s="150">
        <f t="shared" si="125"/>
      </c>
      <c r="D331" s="149">
        <f t="shared" si="126"/>
      </c>
      <c r="E331" s="149">
        <f t="shared" si="150"/>
      </c>
      <c r="F331" s="151">
        <v>0</v>
      </c>
      <c r="G331" s="149">
        <f t="shared" si="151"/>
      </c>
      <c r="H331" s="161"/>
      <c r="I331" s="146"/>
      <c r="J331" s="86"/>
      <c r="K331" s="90">
        <f t="shared" si="124"/>
      </c>
      <c r="L331" s="153">
        <f t="shared" si="152"/>
      </c>
      <c r="M331" s="153">
        <f t="shared" si="153"/>
      </c>
      <c r="N331" s="153">
        <f t="shared" si="154"/>
      </c>
      <c r="O331" s="86"/>
      <c r="P331" s="86"/>
      <c r="Q331" s="158"/>
    </row>
    <row r="332" spans="1:17" ht="15.75">
      <c r="A332" s="148">
        <f t="shared" si="148"/>
      </c>
      <c r="B332" s="149">
        <f t="shared" si="149"/>
      </c>
      <c r="C332" s="150">
        <f t="shared" si="125"/>
      </c>
      <c r="D332" s="149">
        <f t="shared" si="126"/>
      </c>
      <c r="E332" s="149">
        <f t="shared" si="150"/>
      </c>
      <c r="F332" s="151">
        <v>0</v>
      </c>
      <c r="G332" s="149">
        <f t="shared" si="151"/>
      </c>
      <c r="H332" s="161"/>
      <c r="I332" s="146"/>
      <c r="J332" s="86"/>
      <c r="K332" s="90">
        <f t="shared" si="124"/>
      </c>
      <c r="L332" s="153">
        <f t="shared" si="152"/>
      </c>
      <c r="M332" s="153">
        <f t="shared" si="153"/>
      </c>
      <c r="N332" s="153">
        <f t="shared" si="154"/>
      </c>
      <c r="O332" s="86"/>
      <c r="P332" s="86"/>
      <c r="Q332" s="158"/>
    </row>
    <row r="333" spans="1:17" ht="15.75">
      <c r="A333" s="148">
        <f t="shared" si="148"/>
      </c>
      <c r="B333" s="149">
        <f t="shared" si="149"/>
      </c>
      <c r="C333" s="150">
        <f t="shared" si="125"/>
      </c>
      <c r="D333" s="149">
        <f t="shared" si="126"/>
      </c>
      <c r="E333" s="149">
        <f t="shared" si="150"/>
      </c>
      <c r="F333" s="151">
        <v>0</v>
      </c>
      <c r="G333" s="149">
        <f t="shared" si="151"/>
      </c>
      <c r="H333" s="161"/>
      <c r="I333" s="146"/>
      <c r="J333" s="86"/>
      <c r="K333" s="90">
        <f t="shared" si="124"/>
      </c>
      <c r="L333" s="153">
        <f t="shared" si="152"/>
      </c>
      <c r="M333" s="153">
        <f t="shared" si="153"/>
      </c>
      <c r="N333" s="153">
        <f t="shared" si="154"/>
      </c>
      <c r="O333" s="86"/>
      <c r="P333" s="86"/>
      <c r="Q333" s="158"/>
    </row>
    <row r="334" spans="1:17" ht="15.75">
      <c r="A334" s="148">
        <f t="shared" si="148"/>
      </c>
      <c r="B334" s="149">
        <f t="shared" si="149"/>
      </c>
      <c r="C334" s="150">
        <f t="shared" si="125"/>
      </c>
      <c r="D334" s="149">
        <f t="shared" si="126"/>
      </c>
      <c r="E334" s="149">
        <f t="shared" si="150"/>
      </c>
      <c r="F334" s="151">
        <v>0</v>
      </c>
      <c r="G334" s="149">
        <f t="shared" si="151"/>
      </c>
      <c r="H334" s="161"/>
      <c r="I334" s="146"/>
      <c r="J334" s="86"/>
      <c r="K334" s="90">
        <f aca="true" t="shared" si="155" ref="K334:K397">A334</f>
      </c>
      <c r="L334" s="153">
        <f t="shared" si="152"/>
      </c>
      <c r="M334" s="153">
        <f t="shared" si="153"/>
      </c>
      <c r="N334" s="153">
        <f t="shared" si="154"/>
      </c>
      <c r="O334" s="86"/>
      <c r="P334" s="86"/>
      <c r="Q334" s="158"/>
    </row>
    <row r="335" spans="1:17" ht="15.75">
      <c r="A335" s="148">
        <f t="shared" si="148"/>
      </c>
      <c r="B335" s="149">
        <f t="shared" si="149"/>
      </c>
      <c r="C335" s="150">
        <f aca="true" t="shared" si="156" ref="C335:C398">IF(G334=0,"",ROUND(IF(B335+D335&lt;$F$3,B335+D335,$F$3),2))</f>
      </c>
      <c r="D335" s="149">
        <f aca="true" t="shared" si="157" ref="D335:D398">IF(G334=0,"",ROUND(((1+($D$4/($D$7*100)))^($D$7/$D$6)-1)*B335,2))</f>
      </c>
      <c r="E335" s="149">
        <f t="shared" si="150"/>
      </c>
      <c r="F335" s="151">
        <v>0</v>
      </c>
      <c r="G335" s="149">
        <f t="shared" si="151"/>
      </c>
      <c r="H335" s="161"/>
      <c r="I335" s="146"/>
      <c r="J335" s="86"/>
      <c r="K335" s="90">
        <f t="shared" si="155"/>
      </c>
      <c r="L335" s="153">
        <f t="shared" si="152"/>
      </c>
      <c r="M335" s="153">
        <f t="shared" si="153"/>
      </c>
      <c r="N335" s="153">
        <f t="shared" si="154"/>
      </c>
      <c r="O335" s="86"/>
      <c r="P335" s="86"/>
      <c r="Q335" s="158"/>
    </row>
    <row r="336" spans="1:17" ht="15.75">
      <c r="A336" s="148">
        <f aca="true" t="shared" si="158" ref="A336:A351">IF(G335=0,"",1+A335)</f>
      </c>
      <c r="B336" s="149">
        <f aca="true" t="shared" si="159" ref="B336:B351">IF(G335=0,"",ROUND(G335,2))</f>
      </c>
      <c r="C336" s="150">
        <f t="shared" si="156"/>
      </c>
      <c r="D336" s="149">
        <f t="shared" si="157"/>
      </c>
      <c r="E336" s="149">
        <f aca="true" t="shared" si="160" ref="E336:E351">IF(G335=0,"",C336-D336+F336)</f>
      </c>
      <c r="F336" s="151">
        <v>0</v>
      </c>
      <c r="G336" s="149">
        <f aca="true" t="shared" si="161" ref="G336:G351">IF(G335=0,"",ROUND(B336-E336,2))</f>
      </c>
      <c r="H336" s="161"/>
      <c r="I336" s="146"/>
      <c r="J336" s="86"/>
      <c r="K336" s="90">
        <f t="shared" si="155"/>
      </c>
      <c r="L336" s="153">
        <f aca="true" t="shared" si="162" ref="L336:L351">IF(G335=0,"",C336+F336+L335)</f>
      </c>
      <c r="M336" s="153">
        <f aca="true" t="shared" si="163" ref="M336:M351">IF(G335=0,"",M335+D336)</f>
      </c>
      <c r="N336" s="153">
        <f aca="true" t="shared" si="164" ref="N336:N351">IF(G335=0,"",L336-M336)</f>
      </c>
      <c r="O336" s="86"/>
      <c r="P336" s="86"/>
      <c r="Q336" s="158"/>
    </row>
    <row r="337" spans="1:17" ht="15.75">
      <c r="A337" s="148">
        <f t="shared" si="158"/>
      </c>
      <c r="B337" s="149">
        <f t="shared" si="159"/>
      </c>
      <c r="C337" s="150">
        <f t="shared" si="156"/>
      </c>
      <c r="D337" s="149">
        <f t="shared" si="157"/>
      </c>
      <c r="E337" s="149">
        <f t="shared" si="160"/>
      </c>
      <c r="F337" s="151">
        <v>0</v>
      </c>
      <c r="G337" s="149">
        <f t="shared" si="161"/>
      </c>
      <c r="H337" s="161"/>
      <c r="I337" s="146"/>
      <c r="J337" s="86"/>
      <c r="K337" s="90">
        <f t="shared" si="155"/>
      </c>
      <c r="L337" s="153">
        <f t="shared" si="162"/>
      </c>
      <c r="M337" s="153">
        <f t="shared" si="163"/>
      </c>
      <c r="N337" s="153">
        <f t="shared" si="164"/>
      </c>
      <c r="O337" s="86"/>
      <c r="P337" s="86"/>
      <c r="Q337" s="158"/>
    </row>
    <row r="338" spans="1:17" ht="15.75">
      <c r="A338" s="148">
        <f t="shared" si="158"/>
      </c>
      <c r="B338" s="149">
        <f t="shared" si="159"/>
      </c>
      <c r="C338" s="150">
        <f t="shared" si="156"/>
      </c>
      <c r="D338" s="149">
        <f t="shared" si="157"/>
      </c>
      <c r="E338" s="149">
        <f t="shared" si="160"/>
      </c>
      <c r="F338" s="151">
        <v>0</v>
      </c>
      <c r="G338" s="149">
        <f t="shared" si="161"/>
      </c>
      <c r="H338" s="161"/>
      <c r="I338" s="146"/>
      <c r="J338" s="86"/>
      <c r="K338" s="90">
        <f t="shared" si="155"/>
      </c>
      <c r="L338" s="153">
        <f t="shared" si="162"/>
      </c>
      <c r="M338" s="153">
        <f t="shared" si="163"/>
      </c>
      <c r="N338" s="153">
        <f t="shared" si="164"/>
      </c>
      <c r="O338" s="86"/>
      <c r="P338" s="86"/>
      <c r="Q338" s="158"/>
    </row>
    <row r="339" spans="1:17" ht="15.75">
      <c r="A339" s="148">
        <f t="shared" si="158"/>
      </c>
      <c r="B339" s="149">
        <f t="shared" si="159"/>
      </c>
      <c r="C339" s="150">
        <f t="shared" si="156"/>
      </c>
      <c r="D339" s="149">
        <f t="shared" si="157"/>
      </c>
      <c r="E339" s="149">
        <f t="shared" si="160"/>
      </c>
      <c r="F339" s="151">
        <v>0</v>
      </c>
      <c r="G339" s="149">
        <f t="shared" si="161"/>
      </c>
      <c r="H339" s="161"/>
      <c r="I339" s="146"/>
      <c r="J339" s="86"/>
      <c r="K339" s="90">
        <f t="shared" si="155"/>
      </c>
      <c r="L339" s="153">
        <f t="shared" si="162"/>
      </c>
      <c r="M339" s="153">
        <f t="shared" si="163"/>
      </c>
      <c r="N339" s="153">
        <f t="shared" si="164"/>
      </c>
      <c r="O339" s="86"/>
      <c r="P339" s="86"/>
      <c r="Q339" s="158"/>
    </row>
    <row r="340" spans="1:17" ht="15.75">
      <c r="A340" s="148">
        <f t="shared" si="158"/>
      </c>
      <c r="B340" s="149">
        <f t="shared" si="159"/>
      </c>
      <c r="C340" s="150">
        <f t="shared" si="156"/>
      </c>
      <c r="D340" s="149">
        <f t="shared" si="157"/>
      </c>
      <c r="E340" s="149">
        <f t="shared" si="160"/>
      </c>
      <c r="F340" s="151">
        <v>0</v>
      </c>
      <c r="G340" s="149">
        <f t="shared" si="161"/>
      </c>
      <c r="H340" s="161"/>
      <c r="I340" s="146"/>
      <c r="J340" s="86"/>
      <c r="K340" s="90">
        <f t="shared" si="155"/>
      </c>
      <c r="L340" s="153">
        <f t="shared" si="162"/>
      </c>
      <c r="M340" s="153">
        <f t="shared" si="163"/>
      </c>
      <c r="N340" s="153">
        <f t="shared" si="164"/>
      </c>
      <c r="O340" s="86"/>
      <c r="P340" s="86"/>
      <c r="Q340" s="158"/>
    </row>
    <row r="341" spans="1:17" ht="15.75">
      <c r="A341" s="148">
        <f t="shared" si="158"/>
      </c>
      <c r="B341" s="149">
        <f t="shared" si="159"/>
      </c>
      <c r="C341" s="150">
        <f t="shared" si="156"/>
      </c>
      <c r="D341" s="149">
        <f t="shared" si="157"/>
      </c>
      <c r="E341" s="149">
        <f t="shared" si="160"/>
      </c>
      <c r="F341" s="151">
        <v>0</v>
      </c>
      <c r="G341" s="149">
        <f t="shared" si="161"/>
      </c>
      <c r="H341" s="161"/>
      <c r="I341" s="146"/>
      <c r="J341" s="86"/>
      <c r="K341" s="90">
        <f t="shared" si="155"/>
      </c>
      <c r="L341" s="153">
        <f t="shared" si="162"/>
      </c>
      <c r="M341" s="153">
        <f t="shared" si="163"/>
      </c>
      <c r="N341" s="153">
        <f t="shared" si="164"/>
      </c>
      <c r="O341" s="86"/>
      <c r="P341" s="86"/>
      <c r="Q341" s="158"/>
    </row>
    <row r="342" spans="1:17" ht="15.75">
      <c r="A342" s="148">
        <f t="shared" si="158"/>
      </c>
      <c r="B342" s="149">
        <f t="shared" si="159"/>
      </c>
      <c r="C342" s="150">
        <f t="shared" si="156"/>
      </c>
      <c r="D342" s="149">
        <f t="shared" si="157"/>
      </c>
      <c r="E342" s="149">
        <f t="shared" si="160"/>
      </c>
      <c r="F342" s="151">
        <v>0</v>
      </c>
      <c r="G342" s="149">
        <f t="shared" si="161"/>
      </c>
      <c r="H342" s="161"/>
      <c r="I342" s="146"/>
      <c r="J342" s="86"/>
      <c r="K342" s="90">
        <f t="shared" si="155"/>
      </c>
      <c r="L342" s="153">
        <f t="shared" si="162"/>
      </c>
      <c r="M342" s="153">
        <f t="shared" si="163"/>
      </c>
      <c r="N342" s="153">
        <f t="shared" si="164"/>
      </c>
      <c r="O342" s="86"/>
      <c r="P342" s="86"/>
      <c r="Q342" s="158"/>
    </row>
    <row r="343" spans="1:17" ht="15.75">
      <c r="A343" s="148">
        <f t="shared" si="158"/>
      </c>
      <c r="B343" s="149">
        <f t="shared" si="159"/>
      </c>
      <c r="C343" s="150">
        <f t="shared" si="156"/>
      </c>
      <c r="D343" s="149">
        <f t="shared" si="157"/>
      </c>
      <c r="E343" s="149">
        <f t="shared" si="160"/>
      </c>
      <c r="F343" s="151">
        <v>0</v>
      </c>
      <c r="G343" s="149">
        <f t="shared" si="161"/>
      </c>
      <c r="H343" s="161"/>
      <c r="I343" s="146"/>
      <c r="J343" s="86"/>
      <c r="K343" s="90">
        <f t="shared" si="155"/>
      </c>
      <c r="L343" s="153">
        <f t="shared" si="162"/>
      </c>
      <c r="M343" s="153">
        <f t="shared" si="163"/>
      </c>
      <c r="N343" s="153">
        <f t="shared" si="164"/>
      </c>
      <c r="O343" s="86"/>
      <c r="P343" s="86"/>
      <c r="Q343" s="158"/>
    </row>
    <row r="344" spans="1:17" ht="15.75">
      <c r="A344" s="148">
        <f t="shared" si="158"/>
      </c>
      <c r="B344" s="149">
        <f t="shared" si="159"/>
      </c>
      <c r="C344" s="150">
        <f t="shared" si="156"/>
      </c>
      <c r="D344" s="149">
        <f t="shared" si="157"/>
      </c>
      <c r="E344" s="149">
        <f t="shared" si="160"/>
      </c>
      <c r="F344" s="151">
        <v>0</v>
      </c>
      <c r="G344" s="149">
        <f t="shared" si="161"/>
      </c>
      <c r="H344" s="161"/>
      <c r="I344" s="146"/>
      <c r="J344" s="86"/>
      <c r="K344" s="90">
        <f t="shared" si="155"/>
      </c>
      <c r="L344" s="153">
        <f t="shared" si="162"/>
      </c>
      <c r="M344" s="153">
        <f t="shared" si="163"/>
      </c>
      <c r="N344" s="153">
        <f t="shared" si="164"/>
      </c>
      <c r="O344" s="86"/>
      <c r="P344" s="86"/>
      <c r="Q344" s="158"/>
    </row>
    <row r="345" spans="1:17" ht="15.75">
      <c r="A345" s="148">
        <f t="shared" si="158"/>
      </c>
      <c r="B345" s="149">
        <f t="shared" si="159"/>
      </c>
      <c r="C345" s="150">
        <f t="shared" si="156"/>
      </c>
      <c r="D345" s="149">
        <f t="shared" si="157"/>
      </c>
      <c r="E345" s="149">
        <f t="shared" si="160"/>
      </c>
      <c r="F345" s="151">
        <v>0</v>
      </c>
      <c r="G345" s="149">
        <f t="shared" si="161"/>
      </c>
      <c r="H345" s="161"/>
      <c r="I345" s="146"/>
      <c r="J345" s="86"/>
      <c r="K345" s="90">
        <f t="shared" si="155"/>
      </c>
      <c r="L345" s="153">
        <f t="shared" si="162"/>
      </c>
      <c r="M345" s="153">
        <f t="shared" si="163"/>
      </c>
      <c r="N345" s="153">
        <f t="shared" si="164"/>
      </c>
      <c r="O345" s="86"/>
      <c r="P345" s="86"/>
      <c r="Q345" s="158"/>
    </row>
    <row r="346" spans="1:17" ht="15.75">
      <c r="A346" s="148">
        <f t="shared" si="158"/>
      </c>
      <c r="B346" s="149">
        <f t="shared" si="159"/>
      </c>
      <c r="C346" s="150">
        <f t="shared" si="156"/>
      </c>
      <c r="D346" s="149">
        <f t="shared" si="157"/>
      </c>
      <c r="E346" s="149">
        <f t="shared" si="160"/>
      </c>
      <c r="F346" s="151">
        <v>0</v>
      </c>
      <c r="G346" s="149">
        <f t="shared" si="161"/>
      </c>
      <c r="H346" s="161"/>
      <c r="I346" s="146"/>
      <c r="J346" s="86"/>
      <c r="K346" s="90">
        <f t="shared" si="155"/>
      </c>
      <c r="L346" s="153">
        <f t="shared" si="162"/>
      </c>
      <c r="M346" s="153">
        <f t="shared" si="163"/>
      </c>
      <c r="N346" s="153">
        <f t="shared" si="164"/>
      </c>
      <c r="O346" s="86"/>
      <c r="P346" s="86"/>
      <c r="Q346" s="158"/>
    </row>
    <row r="347" spans="1:17" ht="15.75">
      <c r="A347" s="148">
        <f t="shared" si="158"/>
      </c>
      <c r="B347" s="149">
        <f t="shared" si="159"/>
      </c>
      <c r="C347" s="150">
        <f t="shared" si="156"/>
      </c>
      <c r="D347" s="149">
        <f t="shared" si="157"/>
      </c>
      <c r="E347" s="149">
        <f t="shared" si="160"/>
      </c>
      <c r="F347" s="151">
        <v>0</v>
      </c>
      <c r="G347" s="149">
        <f t="shared" si="161"/>
      </c>
      <c r="H347" s="161"/>
      <c r="I347" s="146"/>
      <c r="J347" s="86"/>
      <c r="K347" s="90">
        <f t="shared" si="155"/>
      </c>
      <c r="L347" s="153">
        <f t="shared" si="162"/>
      </c>
      <c r="M347" s="153">
        <f t="shared" si="163"/>
      </c>
      <c r="N347" s="153">
        <f t="shared" si="164"/>
      </c>
      <c r="O347" s="86"/>
      <c r="P347" s="86"/>
      <c r="Q347" s="158"/>
    </row>
    <row r="348" spans="1:17" ht="15.75">
      <c r="A348" s="148">
        <f t="shared" si="158"/>
      </c>
      <c r="B348" s="149">
        <f t="shared" si="159"/>
      </c>
      <c r="C348" s="150">
        <f t="shared" si="156"/>
      </c>
      <c r="D348" s="149">
        <f t="shared" si="157"/>
      </c>
      <c r="E348" s="149">
        <f t="shared" si="160"/>
      </c>
      <c r="F348" s="151">
        <v>0</v>
      </c>
      <c r="G348" s="149">
        <f t="shared" si="161"/>
      </c>
      <c r="H348" s="161"/>
      <c r="I348" s="146"/>
      <c r="J348" s="86"/>
      <c r="K348" s="90">
        <f t="shared" si="155"/>
      </c>
      <c r="L348" s="153">
        <f t="shared" si="162"/>
      </c>
      <c r="M348" s="153">
        <f t="shared" si="163"/>
      </c>
      <c r="N348" s="153">
        <f t="shared" si="164"/>
      </c>
      <c r="O348" s="86"/>
      <c r="P348" s="86"/>
      <c r="Q348" s="158"/>
    </row>
    <row r="349" spans="1:17" ht="15.75">
      <c r="A349" s="148">
        <f t="shared" si="158"/>
      </c>
      <c r="B349" s="149">
        <f t="shared" si="159"/>
      </c>
      <c r="C349" s="150">
        <f t="shared" si="156"/>
      </c>
      <c r="D349" s="149">
        <f t="shared" si="157"/>
      </c>
      <c r="E349" s="149">
        <f t="shared" si="160"/>
      </c>
      <c r="F349" s="151">
        <v>0</v>
      </c>
      <c r="G349" s="149">
        <f t="shared" si="161"/>
      </c>
      <c r="H349" s="161"/>
      <c r="I349" s="146"/>
      <c r="J349" s="86"/>
      <c r="K349" s="90">
        <f t="shared" si="155"/>
      </c>
      <c r="L349" s="153">
        <f t="shared" si="162"/>
      </c>
      <c r="M349" s="153">
        <f t="shared" si="163"/>
      </c>
      <c r="N349" s="153">
        <f t="shared" si="164"/>
      </c>
      <c r="O349" s="86"/>
      <c r="P349" s="86"/>
      <c r="Q349" s="158"/>
    </row>
    <row r="350" spans="1:17" ht="15.75">
      <c r="A350" s="148">
        <f t="shared" si="158"/>
      </c>
      <c r="B350" s="149">
        <f t="shared" si="159"/>
      </c>
      <c r="C350" s="150">
        <f t="shared" si="156"/>
      </c>
      <c r="D350" s="149">
        <f t="shared" si="157"/>
      </c>
      <c r="E350" s="149">
        <f t="shared" si="160"/>
      </c>
      <c r="F350" s="151">
        <v>0</v>
      </c>
      <c r="G350" s="149">
        <f t="shared" si="161"/>
      </c>
      <c r="H350" s="161"/>
      <c r="I350" s="146"/>
      <c r="J350" s="86"/>
      <c r="K350" s="90">
        <f t="shared" si="155"/>
      </c>
      <c r="L350" s="153">
        <f t="shared" si="162"/>
      </c>
      <c r="M350" s="153">
        <f t="shared" si="163"/>
      </c>
      <c r="N350" s="153">
        <f t="shared" si="164"/>
      </c>
      <c r="O350" s="86"/>
      <c r="P350" s="86"/>
      <c r="Q350" s="158"/>
    </row>
    <row r="351" spans="1:17" ht="15.75">
      <c r="A351" s="148">
        <f t="shared" si="158"/>
      </c>
      <c r="B351" s="149">
        <f t="shared" si="159"/>
      </c>
      <c r="C351" s="150">
        <f t="shared" si="156"/>
      </c>
      <c r="D351" s="149">
        <f t="shared" si="157"/>
      </c>
      <c r="E351" s="149">
        <f t="shared" si="160"/>
      </c>
      <c r="F351" s="151">
        <v>0</v>
      </c>
      <c r="G351" s="149">
        <f t="shared" si="161"/>
      </c>
      <c r="H351" s="161"/>
      <c r="I351" s="146"/>
      <c r="J351" s="86"/>
      <c r="K351" s="90">
        <f t="shared" si="155"/>
      </c>
      <c r="L351" s="153">
        <f t="shared" si="162"/>
      </c>
      <c r="M351" s="153">
        <f t="shared" si="163"/>
      </c>
      <c r="N351" s="153">
        <f t="shared" si="164"/>
      </c>
      <c r="O351" s="86"/>
      <c r="P351" s="86"/>
      <c r="Q351" s="158"/>
    </row>
    <row r="352" spans="1:17" ht="15.75">
      <c r="A352" s="148">
        <f aca="true" t="shared" si="165" ref="A352:A367">IF(G351=0,"",1+A351)</f>
      </c>
      <c r="B352" s="149">
        <f aca="true" t="shared" si="166" ref="B352:B367">IF(G351=0,"",ROUND(G351,2))</f>
      </c>
      <c r="C352" s="150">
        <f t="shared" si="156"/>
      </c>
      <c r="D352" s="149">
        <f t="shared" si="157"/>
      </c>
      <c r="E352" s="149">
        <f aca="true" t="shared" si="167" ref="E352:E367">IF(G351=0,"",C352-D352+F352)</f>
      </c>
      <c r="F352" s="151">
        <v>0</v>
      </c>
      <c r="G352" s="149">
        <f aca="true" t="shared" si="168" ref="G352:G367">IF(G351=0,"",ROUND(B352-E352,2))</f>
      </c>
      <c r="H352" s="161"/>
      <c r="I352" s="146"/>
      <c r="J352" s="86"/>
      <c r="K352" s="90">
        <f t="shared" si="155"/>
      </c>
      <c r="L352" s="153">
        <f aca="true" t="shared" si="169" ref="L352:L367">IF(G351=0,"",C352+F352+L351)</f>
      </c>
      <c r="M352" s="153">
        <f aca="true" t="shared" si="170" ref="M352:M367">IF(G351=0,"",M351+D352)</f>
      </c>
      <c r="N352" s="153">
        <f aca="true" t="shared" si="171" ref="N352:N367">IF(G351=0,"",L352-M352)</f>
      </c>
      <c r="O352" s="86"/>
      <c r="P352" s="86"/>
      <c r="Q352" s="158"/>
    </row>
    <row r="353" spans="1:17" ht="15.75">
      <c r="A353" s="148">
        <f t="shared" si="165"/>
      </c>
      <c r="B353" s="149">
        <f t="shared" si="166"/>
      </c>
      <c r="C353" s="150">
        <f t="shared" si="156"/>
      </c>
      <c r="D353" s="149">
        <f t="shared" si="157"/>
      </c>
      <c r="E353" s="149">
        <f t="shared" si="167"/>
      </c>
      <c r="F353" s="151">
        <v>0</v>
      </c>
      <c r="G353" s="149">
        <f t="shared" si="168"/>
      </c>
      <c r="H353" s="161"/>
      <c r="I353" s="146"/>
      <c r="J353" s="86"/>
      <c r="K353" s="90">
        <f t="shared" si="155"/>
      </c>
      <c r="L353" s="153">
        <f t="shared" si="169"/>
      </c>
      <c r="M353" s="153">
        <f t="shared" si="170"/>
      </c>
      <c r="N353" s="153">
        <f t="shared" si="171"/>
      </c>
      <c r="O353" s="86"/>
      <c r="P353" s="86"/>
      <c r="Q353" s="158"/>
    </row>
    <row r="354" spans="1:17" ht="15.75">
      <c r="A354" s="148">
        <f t="shared" si="165"/>
      </c>
      <c r="B354" s="149">
        <f t="shared" si="166"/>
      </c>
      <c r="C354" s="150">
        <f t="shared" si="156"/>
      </c>
      <c r="D354" s="149">
        <f t="shared" si="157"/>
      </c>
      <c r="E354" s="149">
        <f t="shared" si="167"/>
      </c>
      <c r="F354" s="151">
        <v>0</v>
      </c>
      <c r="G354" s="149">
        <f t="shared" si="168"/>
      </c>
      <c r="H354" s="161"/>
      <c r="I354" s="146"/>
      <c r="J354" s="86"/>
      <c r="K354" s="90">
        <f t="shared" si="155"/>
      </c>
      <c r="L354" s="153">
        <f t="shared" si="169"/>
      </c>
      <c r="M354" s="153">
        <f t="shared" si="170"/>
      </c>
      <c r="N354" s="153">
        <f t="shared" si="171"/>
      </c>
      <c r="O354" s="86"/>
      <c r="P354" s="86"/>
      <c r="Q354" s="158"/>
    </row>
    <row r="355" spans="1:17" ht="15.75">
      <c r="A355" s="148">
        <f t="shared" si="165"/>
      </c>
      <c r="B355" s="149">
        <f t="shared" si="166"/>
      </c>
      <c r="C355" s="150">
        <f t="shared" si="156"/>
      </c>
      <c r="D355" s="149">
        <f t="shared" si="157"/>
      </c>
      <c r="E355" s="149">
        <f t="shared" si="167"/>
      </c>
      <c r="F355" s="151">
        <v>0</v>
      </c>
      <c r="G355" s="149">
        <f t="shared" si="168"/>
      </c>
      <c r="H355" s="161"/>
      <c r="I355" s="146"/>
      <c r="J355" s="86"/>
      <c r="K355" s="90">
        <f t="shared" si="155"/>
      </c>
      <c r="L355" s="153">
        <f t="shared" si="169"/>
      </c>
      <c r="M355" s="153">
        <f t="shared" si="170"/>
      </c>
      <c r="N355" s="153">
        <f t="shared" si="171"/>
      </c>
      <c r="O355" s="86"/>
      <c r="P355" s="86"/>
      <c r="Q355" s="158"/>
    </row>
    <row r="356" spans="1:17" ht="15.75">
      <c r="A356" s="148">
        <f t="shared" si="165"/>
      </c>
      <c r="B356" s="149">
        <f t="shared" si="166"/>
      </c>
      <c r="C356" s="150">
        <f t="shared" si="156"/>
      </c>
      <c r="D356" s="149">
        <f t="shared" si="157"/>
      </c>
      <c r="E356" s="149">
        <f t="shared" si="167"/>
      </c>
      <c r="F356" s="151">
        <v>0</v>
      </c>
      <c r="G356" s="149">
        <f t="shared" si="168"/>
      </c>
      <c r="H356" s="161"/>
      <c r="I356" s="146"/>
      <c r="J356" s="86"/>
      <c r="K356" s="90">
        <f t="shared" si="155"/>
      </c>
      <c r="L356" s="153">
        <f t="shared" si="169"/>
      </c>
      <c r="M356" s="153">
        <f t="shared" si="170"/>
      </c>
      <c r="N356" s="153">
        <f t="shared" si="171"/>
      </c>
      <c r="O356" s="86"/>
      <c r="P356" s="86"/>
      <c r="Q356" s="158"/>
    </row>
    <row r="357" spans="1:17" ht="15.75">
      <c r="A357" s="148">
        <f t="shared" si="165"/>
      </c>
      <c r="B357" s="149">
        <f t="shared" si="166"/>
      </c>
      <c r="C357" s="150">
        <f t="shared" si="156"/>
      </c>
      <c r="D357" s="149">
        <f t="shared" si="157"/>
      </c>
      <c r="E357" s="149">
        <f t="shared" si="167"/>
      </c>
      <c r="F357" s="151">
        <v>0</v>
      </c>
      <c r="G357" s="149">
        <f t="shared" si="168"/>
      </c>
      <c r="H357" s="161"/>
      <c r="I357" s="146"/>
      <c r="J357" s="86"/>
      <c r="K357" s="90">
        <f t="shared" si="155"/>
      </c>
      <c r="L357" s="153">
        <f t="shared" si="169"/>
      </c>
      <c r="M357" s="153">
        <f t="shared" si="170"/>
      </c>
      <c r="N357" s="153">
        <f t="shared" si="171"/>
      </c>
      <c r="O357" s="86"/>
      <c r="P357" s="86"/>
      <c r="Q357" s="158"/>
    </row>
    <row r="358" spans="1:17" ht="15.75">
      <c r="A358" s="148">
        <f t="shared" si="165"/>
      </c>
      <c r="B358" s="149">
        <f t="shared" si="166"/>
      </c>
      <c r="C358" s="150">
        <f t="shared" si="156"/>
      </c>
      <c r="D358" s="149">
        <f t="shared" si="157"/>
      </c>
      <c r="E358" s="149">
        <f t="shared" si="167"/>
      </c>
      <c r="F358" s="151">
        <v>0</v>
      </c>
      <c r="G358" s="149">
        <f t="shared" si="168"/>
      </c>
      <c r="H358" s="161"/>
      <c r="I358" s="146"/>
      <c r="J358" s="86"/>
      <c r="K358" s="90">
        <f t="shared" si="155"/>
      </c>
      <c r="L358" s="153">
        <f t="shared" si="169"/>
      </c>
      <c r="M358" s="153">
        <f t="shared" si="170"/>
      </c>
      <c r="N358" s="153">
        <f t="shared" si="171"/>
      </c>
      <c r="O358" s="86"/>
      <c r="P358" s="86"/>
      <c r="Q358" s="158"/>
    </row>
    <row r="359" spans="1:17" ht="15.75">
      <c r="A359" s="148">
        <f t="shared" si="165"/>
      </c>
      <c r="B359" s="149">
        <f t="shared" si="166"/>
      </c>
      <c r="C359" s="150">
        <f t="shared" si="156"/>
      </c>
      <c r="D359" s="149">
        <f t="shared" si="157"/>
      </c>
      <c r="E359" s="149">
        <f t="shared" si="167"/>
      </c>
      <c r="F359" s="151">
        <v>0</v>
      </c>
      <c r="G359" s="149">
        <f t="shared" si="168"/>
      </c>
      <c r="H359" s="161"/>
      <c r="I359" s="146"/>
      <c r="J359" s="86"/>
      <c r="K359" s="90">
        <f t="shared" si="155"/>
      </c>
      <c r="L359" s="153">
        <f t="shared" si="169"/>
      </c>
      <c r="M359" s="153">
        <f t="shared" si="170"/>
      </c>
      <c r="N359" s="153">
        <f t="shared" si="171"/>
      </c>
      <c r="O359" s="86"/>
      <c r="P359" s="86"/>
      <c r="Q359" s="158"/>
    </row>
    <row r="360" spans="1:17" ht="15.75">
      <c r="A360" s="148">
        <f t="shared" si="165"/>
      </c>
      <c r="B360" s="149">
        <f t="shared" si="166"/>
      </c>
      <c r="C360" s="150">
        <f t="shared" si="156"/>
      </c>
      <c r="D360" s="149">
        <f t="shared" si="157"/>
      </c>
      <c r="E360" s="149">
        <f t="shared" si="167"/>
      </c>
      <c r="F360" s="151">
        <v>0</v>
      </c>
      <c r="G360" s="149">
        <f t="shared" si="168"/>
      </c>
      <c r="H360" s="161"/>
      <c r="I360" s="146"/>
      <c r="J360" s="86"/>
      <c r="K360" s="90">
        <f t="shared" si="155"/>
      </c>
      <c r="L360" s="153">
        <f t="shared" si="169"/>
      </c>
      <c r="M360" s="153">
        <f t="shared" si="170"/>
      </c>
      <c r="N360" s="153">
        <f t="shared" si="171"/>
      </c>
      <c r="O360" s="86"/>
      <c r="P360" s="86"/>
      <c r="Q360" s="158"/>
    </row>
    <row r="361" spans="1:17" ht="15.75">
      <c r="A361" s="148">
        <f t="shared" si="165"/>
      </c>
      <c r="B361" s="149">
        <f t="shared" si="166"/>
      </c>
      <c r="C361" s="150">
        <f t="shared" si="156"/>
      </c>
      <c r="D361" s="149">
        <f t="shared" si="157"/>
      </c>
      <c r="E361" s="149">
        <f t="shared" si="167"/>
      </c>
      <c r="F361" s="151">
        <v>0</v>
      </c>
      <c r="G361" s="149">
        <f t="shared" si="168"/>
      </c>
      <c r="H361" s="152"/>
      <c r="I361" s="146"/>
      <c r="J361" s="86"/>
      <c r="K361" s="90">
        <f t="shared" si="155"/>
      </c>
      <c r="L361" s="153">
        <f t="shared" si="169"/>
      </c>
      <c r="M361" s="153">
        <f t="shared" si="170"/>
      </c>
      <c r="N361" s="153">
        <f t="shared" si="171"/>
      </c>
      <c r="O361" s="86"/>
      <c r="P361" s="86"/>
      <c r="Q361" s="158"/>
    </row>
    <row r="362" spans="1:17" ht="15.75">
      <c r="A362" s="148">
        <f t="shared" si="165"/>
      </c>
      <c r="B362" s="149">
        <f t="shared" si="166"/>
      </c>
      <c r="C362" s="150">
        <f t="shared" si="156"/>
      </c>
      <c r="D362" s="149">
        <f t="shared" si="157"/>
      </c>
      <c r="E362" s="149">
        <f t="shared" si="167"/>
      </c>
      <c r="F362" s="151">
        <v>0</v>
      </c>
      <c r="G362" s="149">
        <f t="shared" si="168"/>
      </c>
      <c r="H362" s="152"/>
      <c r="I362" s="146"/>
      <c r="J362" s="86"/>
      <c r="K362" s="90">
        <f t="shared" si="155"/>
      </c>
      <c r="L362" s="153">
        <f t="shared" si="169"/>
      </c>
      <c r="M362" s="153">
        <f t="shared" si="170"/>
      </c>
      <c r="N362" s="153">
        <f t="shared" si="171"/>
      </c>
      <c r="O362" s="86"/>
      <c r="P362" s="86"/>
      <c r="Q362" s="158"/>
    </row>
    <row r="363" spans="1:17" ht="15.75">
      <c r="A363" s="148">
        <f t="shared" si="165"/>
      </c>
      <c r="B363" s="149">
        <f t="shared" si="166"/>
      </c>
      <c r="C363" s="150">
        <f t="shared" si="156"/>
      </c>
      <c r="D363" s="149">
        <f t="shared" si="157"/>
      </c>
      <c r="E363" s="149">
        <f t="shared" si="167"/>
      </c>
      <c r="F363" s="151">
        <v>0</v>
      </c>
      <c r="G363" s="149">
        <f t="shared" si="168"/>
      </c>
      <c r="H363" s="152"/>
      <c r="I363" s="146"/>
      <c r="J363" s="86"/>
      <c r="K363" s="90">
        <f t="shared" si="155"/>
      </c>
      <c r="L363" s="153">
        <f t="shared" si="169"/>
      </c>
      <c r="M363" s="153">
        <f t="shared" si="170"/>
      </c>
      <c r="N363" s="153">
        <f t="shared" si="171"/>
      </c>
      <c r="O363" s="86"/>
      <c r="P363" s="86"/>
      <c r="Q363" s="158"/>
    </row>
    <row r="364" spans="1:17" ht="15.75">
      <c r="A364" s="148">
        <f t="shared" si="165"/>
      </c>
      <c r="B364" s="149">
        <f t="shared" si="166"/>
      </c>
      <c r="C364" s="150">
        <f t="shared" si="156"/>
      </c>
      <c r="D364" s="149">
        <f t="shared" si="157"/>
      </c>
      <c r="E364" s="149">
        <f t="shared" si="167"/>
      </c>
      <c r="F364" s="151">
        <v>0</v>
      </c>
      <c r="G364" s="149">
        <f t="shared" si="168"/>
      </c>
      <c r="H364" s="152"/>
      <c r="I364" s="146"/>
      <c r="J364" s="86"/>
      <c r="K364" s="90">
        <f t="shared" si="155"/>
      </c>
      <c r="L364" s="153">
        <f t="shared" si="169"/>
      </c>
      <c r="M364" s="153">
        <f t="shared" si="170"/>
      </c>
      <c r="N364" s="153">
        <f t="shared" si="171"/>
      </c>
      <c r="O364" s="86"/>
      <c r="P364" s="86"/>
      <c r="Q364" s="158"/>
    </row>
    <row r="365" spans="1:17" ht="15.75">
      <c r="A365" s="148">
        <f t="shared" si="165"/>
      </c>
      <c r="B365" s="149">
        <f t="shared" si="166"/>
      </c>
      <c r="C365" s="150">
        <f t="shared" si="156"/>
      </c>
      <c r="D365" s="149">
        <f t="shared" si="157"/>
      </c>
      <c r="E365" s="149">
        <f t="shared" si="167"/>
      </c>
      <c r="F365" s="151">
        <v>0</v>
      </c>
      <c r="G365" s="149">
        <f t="shared" si="168"/>
      </c>
      <c r="H365" s="152"/>
      <c r="I365" s="146"/>
      <c r="J365" s="86"/>
      <c r="K365" s="90">
        <f t="shared" si="155"/>
      </c>
      <c r="L365" s="153">
        <f t="shared" si="169"/>
      </c>
      <c r="M365" s="153">
        <f t="shared" si="170"/>
      </c>
      <c r="N365" s="153">
        <f t="shared" si="171"/>
      </c>
      <c r="O365" s="86"/>
      <c r="P365" s="86"/>
      <c r="Q365" s="158"/>
    </row>
    <row r="366" spans="1:17" ht="15.75">
      <c r="A366" s="148">
        <f t="shared" si="165"/>
      </c>
      <c r="B366" s="149">
        <f t="shared" si="166"/>
      </c>
      <c r="C366" s="150">
        <f t="shared" si="156"/>
      </c>
      <c r="D366" s="149">
        <f t="shared" si="157"/>
      </c>
      <c r="E366" s="149">
        <f t="shared" si="167"/>
      </c>
      <c r="F366" s="151">
        <v>0</v>
      </c>
      <c r="G366" s="149">
        <f t="shared" si="168"/>
      </c>
      <c r="H366" s="152"/>
      <c r="I366" s="146"/>
      <c r="J366" s="86"/>
      <c r="K366" s="90">
        <f t="shared" si="155"/>
      </c>
      <c r="L366" s="153">
        <f t="shared" si="169"/>
      </c>
      <c r="M366" s="153">
        <f t="shared" si="170"/>
      </c>
      <c r="N366" s="153">
        <f t="shared" si="171"/>
      </c>
      <c r="O366" s="86"/>
      <c r="P366" s="86"/>
      <c r="Q366" s="158"/>
    </row>
    <row r="367" spans="1:17" ht="15.75">
      <c r="A367" s="148">
        <f t="shared" si="165"/>
      </c>
      <c r="B367" s="149">
        <f t="shared" si="166"/>
      </c>
      <c r="C367" s="150">
        <f t="shared" si="156"/>
      </c>
      <c r="D367" s="149">
        <f t="shared" si="157"/>
      </c>
      <c r="E367" s="149">
        <f t="shared" si="167"/>
      </c>
      <c r="F367" s="151">
        <v>0</v>
      </c>
      <c r="G367" s="149">
        <f t="shared" si="168"/>
      </c>
      <c r="H367" s="152"/>
      <c r="I367" s="146"/>
      <c r="J367" s="86"/>
      <c r="K367" s="90">
        <f t="shared" si="155"/>
      </c>
      <c r="L367" s="153">
        <f t="shared" si="169"/>
      </c>
      <c r="M367" s="153">
        <f t="shared" si="170"/>
      </c>
      <c r="N367" s="153">
        <f t="shared" si="171"/>
      </c>
      <c r="O367" s="86"/>
      <c r="P367" s="86"/>
      <c r="Q367" s="158"/>
    </row>
    <row r="368" spans="1:17" ht="15.75">
      <c r="A368" s="148">
        <f aca="true" t="shared" si="172" ref="A368:A383">IF(G367=0,"",1+A367)</f>
      </c>
      <c r="B368" s="149">
        <f aca="true" t="shared" si="173" ref="B368:B383">IF(G367=0,"",ROUND(G367,2))</f>
      </c>
      <c r="C368" s="150">
        <f t="shared" si="156"/>
      </c>
      <c r="D368" s="149">
        <f t="shared" si="157"/>
      </c>
      <c r="E368" s="149">
        <f aca="true" t="shared" si="174" ref="E368:E383">IF(G367=0,"",C368-D368+F368)</f>
      </c>
      <c r="F368" s="151">
        <v>0</v>
      </c>
      <c r="G368" s="149">
        <f aca="true" t="shared" si="175" ref="G368:G383">IF(G367=0,"",ROUND(B368-E368,2))</f>
      </c>
      <c r="H368" s="152"/>
      <c r="I368" s="146"/>
      <c r="J368" s="86"/>
      <c r="K368" s="90">
        <f t="shared" si="155"/>
      </c>
      <c r="L368" s="153">
        <f aca="true" t="shared" si="176" ref="L368:L383">IF(G367=0,"",C368+F368+L367)</f>
      </c>
      <c r="M368" s="153">
        <f aca="true" t="shared" si="177" ref="M368:M383">IF(G367=0,"",M367+D368)</f>
      </c>
      <c r="N368" s="153">
        <f aca="true" t="shared" si="178" ref="N368:N383">IF(G367=0,"",L368-M368)</f>
      </c>
      <c r="O368" s="86"/>
      <c r="P368" s="86"/>
      <c r="Q368" s="158"/>
    </row>
    <row r="369" spans="1:17" ht="15.75">
      <c r="A369" s="148">
        <f t="shared" si="172"/>
      </c>
      <c r="B369" s="149">
        <f t="shared" si="173"/>
      </c>
      <c r="C369" s="150">
        <f t="shared" si="156"/>
      </c>
      <c r="D369" s="149">
        <f t="shared" si="157"/>
      </c>
      <c r="E369" s="149">
        <f t="shared" si="174"/>
      </c>
      <c r="F369" s="151">
        <v>0</v>
      </c>
      <c r="G369" s="149">
        <f t="shared" si="175"/>
      </c>
      <c r="H369" s="152"/>
      <c r="I369" s="146"/>
      <c r="J369" s="86"/>
      <c r="K369" s="90">
        <f t="shared" si="155"/>
      </c>
      <c r="L369" s="153">
        <f t="shared" si="176"/>
      </c>
      <c r="M369" s="153">
        <f t="shared" si="177"/>
      </c>
      <c r="N369" s="153">
        <f t="shared" si="178"/>
      </c>
      <c r="O369" s="86"/>
      <c r="P369" s="86"/>
      <c r="Q369" s="158"/>
    </row>
    <row r="370" spans="1:17" ht="15.75">
      <c r="A370" s="148">
        <f t="shared" si="172"/>
      </c>
      <c r="B370" s="149">
        <f t="shared" si="173"/>
      </c>
      <c r="C370" s="150">
        <f t="shared" si="156"/>
      </c>
      <c r="D370" s="149">
        <f t="shared" si="157"/>
      </c>
      <c r="E370" s="149">
        <f t="shared" si="174"/>
      </c>
      <c r="F370" s="151">
        <v>0</v>
      </c>
      <c r="G370" s="149">
        <f t="shared" si="175"/>
      </c>
      <c r="H370" s="152"/>
      <c r="I370" s="146"/>
      <c r="J370" s="86"/>
      <c r="K370" s="90">
        <f t="shared" si="155"/>
      </c>
      <c r="L370" s="153">
        <f t="shared" si="176"/>
      </c>
      <c r="M370" s="153">
        <f t="shared" si="177"/>
      </c>
      <c r="N370" s="153">
        <f t="shared" si="178"/>
      </c>
      <c r="O370" s="86"/>
      <c r="P370" s="86"/>
      <c r="Q370" s="158"/>
    </row>
    <row r="371" spans="1:17" ht="15.75">
      <c r="A371" s="148">
        <f t="shared" si="172"/>
      </c>
      <c r="B371" s="149">
        <f t="shared" si="173"/>
      </c>
      <c r="C371" s="150">
        <f t="shared" si="156"/>
      </c>
      <c r="D371" s="149">
        <f t="shared" si="157"/>
      </c>
      <c r="E371" s="149">
        <f t="shared" si="174"/>
      </c>
      <c r="F371" s="151">
        <v>0</v>
      </c>
      <c r="G371" s="149">
        <f t="shared" si="175"/>
      </c>
      <c r="H371" s="152"/>
      <c r="I371" s="146"/>
      <c r="J371" s="86"/>
      <c r="K371" s="90">
        <f t="shared" si="155"/>
      </c>
      <c r="L371" s="153">
        <f t="shared" si="176"/>
      </c>
      <c r="M371" s="153">
        <f t="shared" si="177"/>
      </c>
      <c r="N371" s="153">
        <f t="shared" si="178"/>
      </c>
      <c r="O371" s="86"/>
      <c r="P371" s="86"/>
      <c r="Q371" s="158"/>
    </row>
    <row r="372" spans="1:17" ht="15.75">
      <c r="A372" s="148">
        <f t="shared" si="172"/>
      </c>
      <c r="B372" s="149">
        <f t="shared" si="173"/>
      </c>
      <c r="C372" s="150">
        <f t="shared" si="156"/>
      </c>
      <c r="D372" s="149">
        <f t="shared" si="157"/>
      </c>
      <c r="E372" s="149">
        <f t="shared" si="174"/>
      </c>
      <c r="F372" s="151">
        <v>0</v>
      </c>
      <c r="G372" s="149">
        <f t="shared" si="175"/>
      </c>
      <c r="H372" s="152"/>
      <c r="I372" s="146"/>
      <c r="J372" s="86"/>
      <c r="K372" s="90">
        <f t="shared" si="155"/>
      </c>
      <c r="L372" s="153">
        <f t="shared" si="176"/>
      </c>
      <c r="M372" s="153">
        <f t="shared" si="177"/>
      </c>
      <c r="N372" s="153">
        <f t="shared" si="178"/>
      </c>
      <c r="O372" s="86"/>
      <c r="P372" s="86"/>
      <c r="Q372" s="158"/>
    </row>
    <row r="373" spans="1:17" ht="15.75">
      <c r="A373" s="148">
        <f t="shared" si="172"/>
      </c>
      <c r="B373" s="149">
        <f t="shared" si="173"/>
      </c>
      <c r="C373" s="150">
        <f t="shared" si="156"/>
      </c>
      <c r="D373" s="149">
        <f t="shared" si="157"/>
      </c>
      <c r="E373" s="149">
        <f t="shared" si="174"/>
      </c>
      <c r="F373" s="151">
        <v>0</v>
      </c>
      <c r="G373" s="149">
        <f t="shared" si="175"/>
      </c>
      <c r="H373" s="152"/>
      <c r="I373" s="146"/>
      <c r="J373" s="86"/>
      <c r="K373" s="90">
        <f t="shared" si="155"/>
      </c>
      <c r="L373" s="153">
        <f t="shared" si="176"/>
      </c>
      <c r="M373" s="153">
        <f t="shared" si="177"/>
      </c>
      <c r="N373" s="153">
        <f t="shared" si="178"/>
      </c>
      <c r="O373" s="86"/>
      <c r="P373" s="86"/>
      <c r="Q373" s="158"/>
    </row>
    <row r="374" spans="1:17" ht="15.75">
      <c r="A374" s="148">
        <f t="shared" si="172"/>
      </c>
      <c r="B374" s="149">
        <f t="shared" si="173"/>
      </c>
      <c r="C374" s="150">
        <f t="shared" si="156"/>
      </c>
      <c r="D374" s="149">
        <f t="shared" si="157"/>
      </c>
      <c r="E374" s="149">
        <f t="shared" si="174"/>
      </c>
      <c r="F374" s="151">
        <v>0</v>
      </c>
      <c r="G374" s="149">
        <f t="shared" si="175"/>
      </c>
      <c r="H374" s="152"/>
      <c r="I374" s="146"/>
      <c r="J374" s="86"/>
      <c r="K374" s="90">
        <f t="shared" si="155"/>
      </c>
      <c r="L374" s="153">
        <f t="shared" si="176"/>
      </c>
      <c r="M374" s="153">
        <f t="shared" si="177"/>
      </c>
      <c r="N374" s="153">
        <f t="shared" si="178"/>
      </c>
      <c r="O374" s="86"/>
      <c r="P374" s="86"/>
      <c r="Q374" s="158"/>
    </row>
    <row r="375" spans="1:17" ht="15.75">
      <c r="A375" s="148">
        <f t="shared" si="172"/>
      </c>
      <c r="B375" s="149">
        <f t="shared" si="173"/>
      </c>
      <c r="C375" s="150">
        <f t="shared" si="156"/>
      </c>
      <c r="D375" s="149">
        <f t="shared" si="157"/>
      </c>
      <c r="E375" s="149">
        <f t="shared" si="174"/>
      </c>
      <c r="F375" s="151">
        <v>0</v>
      </c>
      <c r="G375" s="149">
        <f t="shared" si="175"/>
      </c>
      <c r="H375" s="152"/>
      <c r="I375" s="146"/>
      <c r="J375" s="86"/>
      <c r="K375" s="90">
        <f t="shared" si="155"/>
      </c>
      <c r="L375" s="153">
        <f t="shared" si="176"/>
      </c>
      <c r="M375" s="153">
        <f t="shared" si="177"/>
      </c>
      <c r="N375" s="153">
        <f t="shared" si="178"/>
      </c>
      <c r="O375" s="86"/>
      <c r="P375" s="86"/>
      <c r="Q375" s="158"/>
    </row>
    <row r="376" spans="1:17" ht="15.75">
      <c r="A376" s="148">
        <f t="shared" si="172"/>
      </c>
      <c r="B376" s="149">
        <f t="shared" si="173"/>
      </c>
      <c r="C376" s="150">
        <f t="shared" si="156"/>
      </c>
      <c r="D376" s="149">
        <f t="shared" si="157"/>
      </c>
      <c r="E376" s="149">
        <f t="shared" si="174"/>
      </c>
      <c r="F376" s="151">
        <v>0</v>
      </c>
      <c r="G376" s="149">
        <f t="shared" si="175"/>
      </c>
      <c r="H376" s="152"/>
      <c r="I376" s="146"/>
      <c r="J376" s="86"/>
      <c r="K376" s="90">
        <f t="shared" si="155"/>
      </c>
      <c r="L376" s="153">
        <f t="shared" si="176"/>
      </c>
      <c r="M376" s="153">
        <f t="shared" si="177"/>
      </c>
      <c r="N376" s="153">
        <f t="shared" si="178"/>
      </c>
      <c r="O376" s="86"/>
      <c r="P376" s="86"/>
      <c r="Q376" s="158"/>
    </row>
    <row r="377" spans="1:17" ht="15.75">
      <c r="A377" s="148">
        <f t="shared" si="172"/>
      </c>
      <c r="B377" s="149">
        <f t="shared" si="173"/>
      </c>
      <c r="C377" s="150">
        <f t="shared" si="156"/>
      </c>
      <c r="D377" s="149">
        <f t="shared" si="157"/>
      </c>
      <c r="E377" s="149">
        <f t="shared" si="174"/>
      </c>
      <c r="F377" s="151">
        <v>0</v>
      </c>
      <c r="G377" s="149">
        <f t="shared" si="175"/>
      </c>
      <c r="H377" s="152"/>
      <c r="I377" s="146"/>
      <c r="J377" s="86"/>
      <c r="K377" s="90">
        <f t="shared" si="155"/>
      </c>
      <c r="L377" s="153">
        <f t="shared" si="176"/>
      </c>
      <c r="M377" s="153">
        <f t="shared" si="177"/>
      </c>
      <c r="N377" s="153">
        <f t="shared" si="178"/>
      </c>
      <c r="O377" s="86"/>
      <c r="P377" s="86"/>
      <c r="Q377" s="158"/>
    </row>
    <row r="378" spans="1:17" ht="15.75">
      <c r="A378" s="148">
        <f t="shared" si="172"/>
      </c>
      <c r="B378" s="149">
        <f t="shared" si="173"/>
      </c>
      <c r="C378" s="150">
        <f t="shared" si="156"/>
      </c>
      <c r="D378" s="149">
        <f t="shared" si="157"/>
      </c>
      <c r="E378" s="149">
        <f t="shared" si="174"/>
      </c>
      <c r="F378" s="151">
        <v>0</v>
      </c>
      <c r="G378" s="149">
        <f t="shared" si="175"/>
      </c>
      <c r="H378" s="152"/>
      <c r="I378" s="146"/>
      <c r="J378" s="86"/>
      <c r="K378" s="90">
        <f t="shared" si="155"/>
      </c>
      <c r="L378" s="153">
        <f t="shared" si="176"/>
      </c>
      <c r="M378" s="153">
        <f t="shared" si="177"/>
      </c>
      <c r="N378" s="153">
        <f t="shared" si="178"/>
      </c>
      <c r="O378" s="86"/>
      <c r="P378" s="86"/>
      <c r="Q378" s="158"/>
    </row>
    <row r="379" spans="1:17" ht="15.75">
      <c r="A379" s="148">
        <f t="shared" si="172"/>
      </c>
      <c r="B379" s="149">
        <f t="shared" si="173"/>
      </c>
      <c r="C379" s="150">
        <f t="shared" si="156"/>
      </c>
      <c r="D379" s="149">
        <f t="shared" si="157"/>
      </c>
      <c r="E379" s="149">
        <f t="shared" si="174"/>
      </c>
      <c r="F379" s="151">
        <v>0</v>
      </c>
      <c r="G379" s="149">
        <f t="shared" si="175"/>
      </c>
      <c r="H379" s="152"/>
      <c r="I379" s="146"/>
      <c r="J379" s="86"/>
      <c r="K379" s="90">
        <f t="shared" si="155"/>
      </c>
      <c r="L379" s="153">
        <f t="shared" si="176"/>
      </c>
      <c r="M379" s="153">
        <f t="shared" si="177"/>
      </c>
      <c r="N379" s="153">
        <f t="shared" si="178"/>
      </c>
      <c r="O379" s="86"/>
      <c r="P379" s="86"/>
      <c r="Q379" s="158"/>
    </row>
    <row r="380" spans="1:17" ht="15.75">
      <c r="A380" s="148">
        <f t="shared" si="172"/>
      </c>
      <c r="B380" s="149">
        <f t="shared" si="173"/>
      </c>
      <c r="C380" s="150">
        <f t="shared" si="156"/>
      </c>
      <c r="D380" s="149">
        <f t="shared" si="157"/>
      </c>
      <c r="E380" s="149">
        <f t="shared" si="174"/>
      </c>
      <c r="F380" s="151">
        <v>0</v>
      </c>
      <c r="G380" s="149">
        <f t="shared" si="175"/>
      </c>
      <c r="H380" s="152"/>
      <c r="I380" s="146"/>
      <c r="J380" s="86"/>
      <c r="K380" s="90">
        <f t="shared" si="155"/>
      </c>
      <c r="L380" s="153">
        <f t="shared" si="176"/>
      </c>
      <c r="M380" s="153">
        <f t="shared" si="177"/>
      </c>
      <c r="N380" s="153">
        <f t="shared" si="178"/>
      </c>
      <c r="O380" s="86"/>
      <c r="P380" s="86"/>
      <c r="Q380" s="158"/>
    </row>
    <row r="381" spans="1:17" ht="15.75">
      <c r="A381" s="148">
        <f t="shared" si="172"/>
      </c>
      <c r="B381" s="149">
        <f t="shared" si="173"/>
      </c>
      <c r="C381" s="150">
        <f t="shared" si="156"/>
      </c>
      <c r="D381" s="149">
        <f t="shared" si="157"/>
      </c>
      <c r="E381" s="149">
        <f t="shared" si="174"/>
      </c>
      <c r="F381" s="151">
        <v>0</v>
      </c>
      <c r="G381" s="149">
        <f t="shared" si="175"/>
      </c>
      <c r="H381" s="152"/>
      <c r="I381" s="146"/>
      <c r="J381" s="86"/>
      <c r="K381" s="90">
        <f t="shared" si="155"/>
      </c>
      <c r="L381" s="153">
        <f t="shared" si="176"/>
      </c>
      <c r="M381" s="153">
        <f t="shared" si="177"/>
      </c>
      <c r="N381" s="153">
        <f t="shared" si="178"/>
      </c>
      <c r="O381" s="86"/>
      <c r="P381" s="86"/>
      <c r="Q381" s="158"/>
    </row>
    <row r="382" spans="1:17" ht="15.75">
      <c r="A382" s="148">
        <f t="shared" si="172"/>
      </c>
      <c r="B382" s="149">
        <f t="shared" si="173"/>
      </c>
      <c r="C382" s="150">
        <f t="shared" si="156"/>
      </c>
      <c r="D382" s="149">
        <f t="shared" si="157"/>
      </c>
      <c r="E382" s="149">
        <f t="shared" si="174"/>
      </c>
      <c r="F382" s="151">
        <v>0</v>
      </c>
      <c r="G382" s="149">
        <f t="shared" si="175"/>
      </c>
      <c r="H382" s="152"/>
      <c r="I382" s="146"/>
      <c r="J382" s="86"/>
      <c r="K382" s="90">
        <f t="shared" si="155"/>
      </c>
      <c r="L382" s="153">
        <f t="shared" si="176"/>
      </c>
      <c r="M382" s="153">
        <f t="shared" si="177"/>
      </c>
      <c r="N382" s="153">
        <f t="shared" si="178"/>
      </c>
      <c r="O382" s="86"/>
      <c r="P382" s="86"/>
      <c r="Q382" s="158"/>
    </row>
    <row r="383" spans="1:17" ht="15.75">
      <c r="A383" s="148">
        <f t="shared" si="172"/>
      </c>
      <c r="B383" s="149">
        <f t="shared" si="173"/>
      </c>
      <c r="C383" s="150">
        <f t="shared" si="156"/>
      </c>
      <c r="D383" s="149">
        <f t="shared" si="157"/>
      </c>
      <c r="E383" s="149">
        <f t="shared" si="174"/>
      </c>
      <c r="F383" s="151">
        <v>0</v>
      </c>
      <c r="G383" s="149">
        <f t="shared" si="175"/>
      </c>
      <c r="H383" s="152"/>
      <c r="I383" s="146"/>
      <c r="J383" s="86"/>
      <c r="K383" s="90">
        <f t="shared" si="155"/>
      </c>
      <c r="L383" s="153">
        <f t="shared" si="176"/>
      </c>
      <c r="M383" s="153">
        <f t="shared" si="177"/>
      </c>
      <c r="N383" s="153">
        <f t="shared" si="178"/>
      </c>
      <c r="O383" s="86"/>
      <c r="P383" s="86"/>
      <c r="Q383" s="158"/>
    </row>
    <row r="384" spans="1:17" ht="15.75">
      <c r="A384" s="148">
        <f aca="true" t="shared" si="179" ref="A384:A399">IF(G383=0,"",1+A383)</f>
      </c>
      <c r="B384" s="149">
        <f aca="true" t="shared" si="180" ref="B384:B399">IF(G383=0,"",ROUND(G383,2))</f>
      </c>
      <c r="C384" s="150">
        <f t="shared" si="156"/>
      </c>
      <c r="D384" s="149">
        <f t="shared" si="157"/>
      </c>
      <c r="E384" s="149">
        <f aca="true" t="shared" si="181" ref="E384:E399">IF(G383=0,"",C384-D384+F384)</f>
      </c>
      <c r="F384" s="151">
        <v>0</v>
      </c>
      <c r="G384" s="149">
        <f aca="true" t="shared" si="182" ref="G384:G399">IF(G383=0,"",ROUND(B384-E384,2))</f>
      </c>
      <c r="H384" s="152"/>
      <c r="I384" s="146"/>
      <c r="J384" s="86"/>
      <c r="K384" s="90">
        <f t="shared" si="155"/>
      </c>
      <c r="L384" s="153">
        <f aca="true" t="shared" si="183" ref="L384:L399">IF(G383=0,"",C384+F384+L383)</f>
      </c>
      <c r="M384" s="153">
        <f aca="true" t="shared" si="184" ref="M384:M399">IF(G383=0,"",M383+D384)</f>
      </c>
      <c r="N384" s="153">
        <f aca="true" t="shared" si="185" ref="N384:N399">IF(G383=0,"",L384-M384)</f>
      </c>
      <c r="O384" s="86"/>
      <c r="P384" s="86"/>
      <c r="Q384" s="158"/>
    </row>
    <row r="385" spans="1:17" ht="15.75">
      <c r="A385" s="148">
        <f t="shared" si="179"/>
      </c>
      <c r="B385" s="149">
        <f t="shared" si="180"/>
      </c>
      <c r="C385" s="150">
        <f t="shared" si="156"/>
      </c>
      <c r="D385" s="149">
        <f t="shared" si="157"/>
      </c>
      <c r="E385" s="149">
        <f t="shared" si="181"/>
      </c>
      <c r="F385" s="151">
        <v>0</v>
      </c>
      <c r="G385" s="149">
        <f t="shared" si="182"/>
      </c>
      <c r="H385" s="152"/>
      <c r="I385" s="146"/>
      <c r="J385" s="86"/>
      <c r="K385" s="90">
        <f t="shared" si="155"/>
      </c>
      <c r="L385" s="153">
        <f t="shared" si="183"/>
      </c>
      <c r="M385" s="153">
        <f t="shared" si="184"/>
      </c>
      <c r="N385" s="153">
        <f t="shared" si="185"/>
      </c>
      <c r="O385" s="86"/>
      <c r="P385" s="86"/>
      <c r="Q385" s="158"/>
    </row>
    <row r="386" spans="1:17" ht="15.75">
      <c r="A386" s="148">
        <f t="shared" si="179"/>
      </c>
      <c r="B386" s="149">
        <f t="shared" si="180"/>
      </c>
      <c r="C386" s="150">
        <f t="shared" si="156"/>
      </c>
      <c r="D386" s="149">
        <f t="shared" si="157"/>
      </c>
      <c r="E386" s="149">
        <f t="shared" si="181"/>
      </c>
      <c r="F386" s="151">
        <v>0</v>
      </c>
      <c r="G386" s="149">
        <f t="shared" si="182"/>
      </c>
      <c r="H386" s="152"/>
      <c r="I386" s="146"/>
      <c r="J386" s="86"/>
      <c r="K386" s="90">
        <f t="shared" si="155"/>
      </c>
      <c r="L386" s="153">
        <f t="shared" si="183"/>
      </c>
      <c r="M386" s="153">
        <f t="shared" si="184"/>
      </c>
      <c r="N386" s="153">
        <f t="shared" si="185"/>
      </c>
      <c r="O386" s="86"/>
      <c r="P386" s="86"/>
      <c r="Q386" s="158"/>
    </row>
    <row r="387" spans="1:17" ht="15.75">
      <c r="A387" s="148">
        <f t="shared" si="179"/>
      </c>
      <c r="B387" s="149">
        <f t="shared" si="180"/>
      </c>
      <c r="C387" s="150">
        <f t="shared" si="156"/>
      </c>
      <c r="D387" s="149">
        <f t="shared" si="157"/>
      </c>
      <c r="E387" s="149">
        <f t="shared" si="181"/>
      </c>
      <c r="F387" s="151">
        <v>0</v>
      </c>
      <c r="G387" s="149">
        <f t="shared" si="182"/>
      </c>
      <c r="H387" s="152"/>
      <c r="I387" s="146"/>
      <c r="J387" s="86"/>
      <c r="K387" s="90">
        <f t="shared" si="155"/>
      </c>
      <c r="L387" s="153">
        <f t="shared" si="183"/>
      </c>
      <c r="M387" s="153">
        <f t="shared" si="184"/>
      </c>
      <c r="N387" s="153">
        <f t="shared" si="185"/>
      </c>
      <c r="O387" s="86"/>
      <c r="P387" s="86"/>
      <c r="Q387" s="158"/>
    </row>
    <row r="388" spans="1:17" ht="15.75">
      <c r="A388" s="148">
        <f t="shared" si="179"/>
      </c>
      <c r="B388" s="149">
        <f t="shared" si="180"/>
      </c>
      <c r="C388" s="150">
        <f t="shared" si="156"/>
      </c>
      <c r="D388" s="149">
        <f t="shared" si="157"/>
      </c>
      <c r="E388" s="149">
        <f t="shared" si="181"/>
      </c>
      <c r="F388" s="151">
        <v>0</v>
      </c>
      <c r="G388" s="149">
        <f t="shared" si="182"/>
      </c>
      <c r="H388" s="152"/>
      <c r="I388" s="146"/>
      <c r="J388" s="86"/>
      <c r="K388" s="90">
        <f t="shared" si="155"/>
      </c>
      <c r="L388" s="153">
        <f t="shared" si="183"/>
      </c>
      <c r="M388" s="153">
        <f t="shared" si="184"/>
      </c>
      <c r="N388" s="153">
        <f t="shared" si="185"/>
      </c>
      <c r="O388" s="86"/>
      <c r="P388" s="86"/>
      <c r="Q388" s="158"/>
    </row>
    <row r="389" spans="1:17" ht="15.75">
      <c r="A389" s="148">
        <f t="shared" si="179"/>
      </c>
      <c r="B389" s="149">
        <f t="shared" si="180"/>
      </c>
      <c r="C389" s="150">
        <f t="shared" si="156"/>
      </c>
      <c r="D389" s="149">
        <f t="shared" si="157"/>
      </c>
      <c r="E389" s="149">
        <f t="shared" si="181"/>
      </c>
      <c r="F389" s="151">
        <v>0</v>
      </c>
      <c r="G389" s="149">
        <f t="shared" si="182"/>
      </c>
      <c r="H389" s="152"/>
      <c r="I389" s="146"/>
      <c r="J389" s="86"/>
      <c r="K389" s="90">
        <f t="shared" si="155"/>
      </c>
      <c r="L389" s="153">
        <f t="shared" si="183"/>
      </c>
      <c r="M389" s="153">
        <f t="shared" si="184"/>
      </c>
      <c r="N389" s="153">
        <f t="shared" si="185"/>
      </c>
      <c r="O389" s="86"/>
      <c r="P389" s="86"/>
      <c r="Q389" s="158"/>
    </row>
    <row r="390" spans="1:17" ht="15.75">
      <c r="A390" s="148">
        <f t="shared" si="179"/>
      </c>
      <c r="B390" s="149">
        <f t="shared" si="180"/>
      </c>
      <c r="C390" s="150">
        <f t="shared" si="156"/>
      </c>
      <c r="D390" s="149">
        <f t="shared" si="157"/>
      </c>
      <c r="E390" s="149">
        <f t="shared" si="181"/>
      </c>
      <c r="F390" s="151">
        <v>0</v>
      </c>
      <c r="G390" s="149">
        <f t="shared" si="182"/>
      </c>
      <c r="H390" s="152"/>
      <c r="I390" s="146"/>
      <c r="J390" s="86"/>
      <c r="K390" s="90">
        <f t="shared" si="155"/>
      </c>
      <c r="L390" s="153">
        <f t="shared" si="183"/>
      </c>
      <c r="M390" s="153">
        <f t="shared" si="184"/>
      </c>
      <c r="N390" s="153">
        <f t="shared" si="185"/>
      </c>
      <c r="O390" s="86"/>
      <c r="P390" s="86"/>
      <c r="Q390" s="158"/>
    </row>
    <row r="391" spans="1:17" ht="15.75">
      <c r="A391" s="148">
        <f t="shared" si="179"/>
      </c>
      <c r="B391" s="149">
        <f t="shared" si="180"/>
      </c>
      <c r="C391" s="150">
        <f t="shared" si="156"/>
      </c>
      <c r="D391" s="149">
        <f t="shared" si="157"/>
      </c>
      <c r="E391" s="149">
        <f t="shared" si="181"/>
      </c>
      <c r="F391" s="151">
        <v>0</v>
      </c>
      <c r="G391" s="149">
        <f t="shared" si="182"/>
      </c>
      <c r="H391" s="152"/>
      <c r="I391" s="146"/>
      <c r="J391" s="86"/>
      <c r="K391" s="90">
        <f t="shared" si="155"/>
      </c>
      <c r="L391" s="153">
        <f t="shared" si="183"/>
      </c>
      <c r="M391" s="153">
        <f t="shared" si="184"/>
      </c>
      <c r="N391" s="153">
        <f t="shared" si="185"/>
      </c>
      <c r="O391" s="86"/>
      <c r="P391" s="86"/>
      <c r="Q391" s="158"/>
    </row>
    <row r="392" spans="1:17" ht="15.75">
      <c r="A392" s="148">
        <f t="shared" si="179"/>
      </c>
      <c r="B392" s="149">
        <f t="shared" si="180"/>
      </c>
      <c r="C392" s="150">
        <f t="shared" si="156"/>
      </c>
      <c r="D392" s="149">
        <f t="shared" si="157"/>
      </c>
      <c r="E392" s="149">
        <f t="shared" si="181"/>
      </c>
      <c r="F392" s="151">
        <v>0</v>
      </c>
      <c r="G392" s="149">
        <f t="shared" si="182"/>
      </c>
      <c r="H392" s="152"/>
      <c r="I392" s="146"/>
      <c r="J392" s="86"/>
      <c r="K392" s="90">
        <f t="shared" si="155"/>
      </c>
      <c r="L392" s="153">
        <f t="shared" si="183"/>
      </c>
      <c r="M392" s="153">
        <f t="shared" si="184"/>
      </c>
      <c r="N392" s="153">
        <f t="shared" si="185"/>
      </c>
      <c r="O392" s="86"/>
      <c r="P392" s="86"/>
      <c r="Q392" s="158"/>
    </row>
    <row r="393" spans="1:17" ht="15.75">
      <c r="A393" s="148">
        <f t="shared" si="179"/>
      </c>
      <c r="B393" s="149">
        <f t="shared" si="180"/>
      </c>
      <c r="C393" s="150">
        <f t="shared" si="156"/>
      </c>
      <c r="D393" s="149">
        <f t="shared" si="157"/>
      </c>
      <c r="E393" s="149">
        <f t="shared" si="181"/>
      </c>
      <c r="F393" s="151">
        <v>0</v>
      </c>
      <c r="G393" s="149">
        <f t="shared" si="182"/>
      </c>
      <c r="H393" s="152"/>
      <c r="I393" s="146"/>
      <c r="J393" s="86"/>
      <c r="K393" s="90">
        <f t="shared" si="155"/>
      </c>
      <c r="L393" s="153">
        <f t="shared" si="183"/>
      </c>
      <c r="M393" s="153">
        <f t="shared" si="184"/>
      </c>
      <c r="N393" s="153">
        <f t="shared" si="185"/>
      </c>
      <c r="O393" s="86"/>
      <c r="P393" s="86"/>
      <c r="Q393" s="158"/>
    </row>
    <row r="394" spans="1:17" ht="15.75">
      <c r="A394" s="148">
        <f t="shared" si="179"/>
      </c>
      <c r="B394" s="149">
        <f t="shared" si="180"/>
      </c>
      <c r="C394" s="150">
        <f t="shared" si="156"/>
      </c>
      <c r="D394" s="149">
        <f t="shared" si="157"/>
      </c>
      <c r="E394" s="149">
        <f t="shared" si="181"/>
      </c>
      <c r="F394" s="151">
        <v>0</v>
      </c>
      <c r="G394" s="149">
        <f t="shared" si="182"/>
      </c>
      <c r="H394" s="152"/>
      <c r="I394" s="146"/>
      <c r="J394" s="86"/>
      <c r="K394" s="90">
        <f t="shared" si="155"/>
      </c>
      <c r="L394" s="153">
        <f t="shared" si="183"/>
      </c>
      <c r="M394" s="153">
        <f t="shared" si="184"/>
      </c>
      <c r="N394" s="153">
        <f t="shared" si="185"/>
      </c>
      <c r="O394" s="86"/>
      <c r="P394" s="86"/>
      <c r="Q394" s="158"/>
    </row>
    <row r="395" spans="1:17" ht="15.75">
      <c r="A395" s="148">
        <f t="shared" si="179"/>
      </c>
      <c r="B395" s="149">
        <f t="shared" si="180"/>
      </c>
      <c r="C395" s="150">
        <f t="shared" si="156"/>
      </c>
      <c r="D395" s="149">
        <f t="shared" si="157"/>
      </c>
      <c r="E395" s="149">
        <f t="shared" si="181"/>
      </c>
      <c r="F395" s="151">
        <v>0</v>
      </c>
      <c r="G395" s="149">
        <f t="shared" si="182"/>
      </c>
      <c r="H395" s="152"/>
      <c r="I395" s="146"/>
      <c r="J395" s="86"/>
      <c r="K395" s="90">
        <f t="shared" si="155"/>
      </c>
      <c r="L395" s="153">
        <f t="shared" si="183"/>
      </c>
      <c r="M395" s="153">
        <f t="shared" si="184"/>
      </c>
      <c r="N395" s="153">
        <f t="shared" si="185"/>
      </c>
      <c r="O395" s="86"/>
      <c r="P395" s="86"/>
      <c r="Q395" s="158"/>
    </row>
    <row r="396" spans="1:17" ht="15.75">
      <c r="A396" s="148">
        <f t="shared" si="179"/>
      </c>
      <c r="B396" s="149">
        <f t="shared" si="180"/>
      </c>
      <c r="C396" s="150">
        <f t="shared" si="156"/>
      </c>
      <c r="D396" s="149">
        <f t="shared" si="157"/>
      </c>
      <c r="E396" s="149">
        <f t="shared" si="181"/>
      </c>
      <c r="F396" s="151">
        <v>0</v>
      </c>
      <c r="G396" s="149">
        <f t="shared" si="182"/>
      </c>
      <c r="H396" s="152"/>
      <c r="I396" s="146"/>
      <c r="J396" s="86"/>
      <c r="K396" s="90">
        <f t="shared" si="155"/>
      </c>
      <c r="L396" s="153">
        <f t="shared" si="183"/>
      </c>
      <c r="M396" s="153">
        <f t="shared" si="184"/>
      </c>
      <c r="N396" s="153">
        <f t="shared" si="185"/>
      </c>
      <c r="O396" s="86"/>
      <c r="P396" s="86"/>
      <c r="Q396" s="158"/>
    </row>
    <row r="397" spans="1:17" ht="15.75">
      <c r="A397" s="148">
        <f t="shared" si="179"/>
      </c>
      <c r="B397" s="149">
        <f t="shared" si="180"/>
      </c>
      <c r="C397" s="150">
        <f t="shared" si="156"/>
      </c>
      <c r="D397" s="149">
        <f t="shared" si="157"/>
      </c>
      <c r="E397" s="149">
        <f t="shared" si="181"/>
      </c>
      <c r="F397" s="151">
        <v>0</v>
      </c>
      <c r="G397" s="149">
        <f t="shared" si="182"/>
      </c>
      <c r="H397" s="152"/>
      <c r="I397" s="146"/>
      <c r="J397" s="86"/>
      <c r="K397" s="90">
        <f t="shared" si="155"/>
      </c>
      <c r="L397" s="153">
        <f t="shared" si="183"/>
      </c>
      <c r="M397" s="153">
        <f t="shared" si="184"/>
      </c>
      <c r="N397" s="153">
        <f t="shared" si="185"/>
      </c>
      <c r="O397" s="86"/>
      <c r="P397" s="86"/>
      <c r="Q397" s="158"/>
    </row>
    <row r="398" spans="1:17" ht="15.75">
      <c r="A398" s="148">
        <f t="shared" si="179"/>
      </c>
      <c r="B398" s="149">
        <f t="shared" si="180"/>
      </c>
      <c r="C398" s="150">
        <f t="shared" si="156"/>
      </c>
      <c r="D398" s="149">
        <f t="shared" si="157"/>
      </c>
      <c r="E398" s="149">
        <f t="shared" si="181"/>
      </c>
      <c r="F398" s="151">
        <v>0</v>
      </c>
      <c r="G398" s="149">
        <f t="shared" si="182"/>
      </c>
      <c r="H398" s="152"/>
      <c r="I398" s="146"/>
      <c r="J398" s="86"/>
      <c r="K398" s="90">
        <f aca="true" t="shared" si="186" ref="K398:K413">A398</f>
      </c>
      <c r="L398" s="153">
        <f t="shared" si="183"/>
      </c>
      <c r="M398" s="153">
        <f t="shared" si="184"/>
      </c>
      <c r="N398" s="153">
        <f t="shared" si="185"/>
      </c>
      <c r="O398" s="86"/>
      <c r="P398" s="86"/>
      <c r="Q398" s="158"/>
    </row>
    <row r="399" spans="1:17" ht="15.75">
      <c r="A399" s="148">
        <f t="shared" si="179"/>
      </c>
      <c r="B399" s="149">
        <f t="shared" si="180"/>
      </c>
      <c r="C399" s="150">
        <f aca="true" t="shared" si="187" ref="C399:C413">IF(G398=0,"",ROUND(IF(B399+D399&lt;$F$3,B399+D399,$F$3),2))</f>
      </c>
      <c r="D399" s="149">
        <f aca="true" t="shared" si="188" ref="D399:D413">IF(G398=0,"",ROUND(((1+($D$4/($D$7*100)))^($D$7/$D$6)-1)*B399,2))</f>
      </c>
      <c r="E399" s="149">
        <f t="shared" si="181"/>
      </c>
      <c r="F399" s="151">
        <v>0</v>
      </c>
      <c r="G399" s="149">
        <f t="shared" si="182"/>
      </c>
      <c r="H399" s="152"/>
      <c r="I399" s="146"/>
      <c r="J399" s="86"/>
      <c r="K399" s="90">
        <f t="shared" si="186"/>
      </c>
      <c r="L399" s="153">
        <f t="shared" si="183"/>
      </c>
      <c r="M399" s="153">
        <f t="shared" si="184"/>
      </c>
      <c r="N399" s="153">
        <f t="shared" si="185"/>
      </c>
      <c r="O399" s="86"/>
      <c r="P399" s="86"/>
      <c r="Q399" s="158"/>
    </row>
    <row r="400" spans="1:17" ht="15.75">
      <c r="A400" s="148">
        <f aca="true" t="shared" si="189" ref="A400:A413">IF(G399=0,"",1+A399)</f>
      </c>
      <c r="B400" s="149">
        <f aca="true" t="shared" si="190" ref="B400:B413">IF(G399=0,"",ROUND(G399,2))</f>
      </c>
      <c r="C400" s="150">
        <f t="shared" si="187"/>
      </c>
      <c r="D400" s="149">
        <f t="shared" si="188"/>
      </c>
      <c r="E400" s="149">
        <f aca="true" t="shared" si="191" ref="E400:E413">IF(G399=0,"",C400-D400+F400)</f>
      </c>
      <c r="F400" s="151">
        <v>0</v>
      </c>
      <c r="G400" s="149">
        <f aca="true" t="shared" si="192" ref="G400:G413">IF(G399=0,"",ROUND(B400-E400,2))</f>
      </c>
      <c r="H400" s="152"/>
      <c r="I400" s="146"/>
      <c r="J400" s="86"/>
      <c r="K400" s="90">
        <f t="shared" si="186"/>
      </c>
      <c r="L400" s="153">
        <f aca="true" t="shared" si="193" ref="L400:L413">IF(G399=0,"",C400+F400+L399)</f>
      </c>
      <c r="M400" s="153">
        <f aca="true" t="shared" si="194" ref="M400:M413">IF(G399=0,"",M399+D400)</f>
      </c>
      <c r="N400" s="153">
        <f aca="true" t="shared" si="195" ref="N400:N413">IF(G399=0,"",L400-M400)</f>
      </c>
      <c r="O400" s="86"/>
      <c r="P400" s="86"/>
      <c r="Q400" s="158"/>
    </row>
    <row r="401" spans="1:17" ht="15.75">
      <c r="A401" s="148">
        <f t="shared" si="189"/>
      </c>
      <c r="B401" s="149">
        <f t="shared" si="190"/>
      </c>
      <c r="C401" s="150">
        <f t="shared" si="187"/>
      </c>
      <c r="D401" s="149">
        <f t="shared" si="188"/>
      </c>
      <c r="E401" s="149">
        <f t="shared" si="191"/>
      </c>
      <c r="F401" s="151">
        <v>0</v>
      </c>
      <c r="G401" s="149">
        <f t="shared" si="192"/>
      </c>
      <c r="H401" s="152"/>
      <c r="I401" s="146"/>
      <c r="J401" s="86"/>
      <c r="K401" s="90">
        <f t="shared" si="186"/>
      </c>
      <c r="L401" s="153">
        <f t="shared" si="193"/>
      </c>
      <c r="M401" s="153">
        <f t="shared" si="194"/>
      </c>
      <c r="N401" s="153">
        <f t="shared" si="195"/>
      </c>
      <c r="O401" s="86"/>
      <c r="P401" s="86"/>
      <c r="Q401" s="158"/>
    </row>
    <row r="402" spans="1:17" ht="15.75">
      <c r="A402" s="148">
        <f t="shared" si="189"/>
      </c>
      <c r="B402" s="149">
        <f t="shared" si="190"/>
      </c>
      <c r="C402" s="150">
        <f t="shared" si="187"/>
      </c>
      <c r="D402" s="149">
        <f t="shared" si="188"/>
      </c>
      <c r="E402" s="149">
        <f t="shared" si="191"/>
      </c>
      <c r="F402" s="151">
        <v>0</v>
      </c>
      <c r="G402" s="149">
        <f t="shared" si="192"/>
      </c>
      <c r="H402" s="152"/>
      <c r="I402" s="146"/>
      <c r="J402" s="86"/>
      <c r="K402" s="90">
        <f t="shared" si="186"/>
      </c>
      <c r="L402" s="153">
        <f t="shared" si="193"/>
      </c>
      <c r="M402" s="153">
        <f t="shared" si="194"/>
      </c>
      <c r="N402" s="153">
        <f t="shared" si="195"/>
      </c>
      <c r="O402" s="86"/>
      <c r="P402" s="86"/>
      <c r="Q402" s="158"/>
    </row>
    <row r="403" spans="1:17" ht="15.75">
      <c r="A403" s="148">
        <f t="shared" si="189"/>
      </c>
      <c r="B403" s="149">
        <f t="shared" si="190"/>
      </c>
      <c r="C403" s="150">
        <f t="shared" si="187"/>
      </c>
      <c r="D403" s="149">
        <f t="shared" si="188"/>
      </c>
      <c r="E403" s="149">
        <f t="shared" si="191"/>
      </c>
      <c r="F403" s="151">
        <v>0</v>
      </c>
      <c r="G403" s="149">
        <f t="shared" si="192"/>
      </c>
      <c r="H403" s="152"/>
      <c r="I403" s="146"/>
      <c r="J403" s="86"/>
      <c r="K403" s="90">
        <f t="shared" si="186"/>
      </c>
      <c r="L403" s="153">
        <f t="shared" si="193"/>
      </c>
      <c r="M403" s="153">
        <f t="shared" si="194"/>
      </c>
      <c r="N403" s="153">
        <f t="shared" si="195"/>
      </c>
      <c r="O403" s="86"/>
      <c r="P403" s="86"/>
      <c r="Q403" s="158"/>
    </row>
    <row r="404" spans="1:17" ht="15.75">
      <c r="A404" s="148">
        <f t="shared" si="189"/>
      </c>
      <c r="B404" s="149">
        <f t="shared" si="190"/>
      </c>
      <c r="C404" s="150">
        <f t="shared" si="187"/>
      </c>
      <c r="D404" s="149">
        <f t="shared" si="188"/>
      </c>
      <c r="E404" s="149">
        <f t="shared" si="191"/>
      </c>
      <c r="F404" s="151">
        <v>0</v>
      </c>
      <c r="G404" s="149">
        <f t="shared" si="192"/>
      </c>
      <c r="H404" s="152"/>
      <c r="I404" s="146"/>
      <c r="J404" s="86"/>
      <c r="K404" s="90">
        <f t="shared" si="186"/>
      </c>
      <c r="L404" s="153">
        <f t="shared" si="193"/>
      </c>
      <c r="M404" s="153">
        <f t="shared" si="194"/>
      </c>
      <c r="N404" s="153">
        <f t="shared" si="195"/>
      </c>
      <c r="O404" s="86"/>
      <c r="P404" s="86"/>
      <c r="Q404" s="158"/>
    </row>
    <row r="405" spans="1:17" ht="15.75">
      <c r="A405" s="148">
        <f t="shared" si="189"/>
      </c>
      <c r="B405" s="149">
        <f t="shared" si="190"/>
      </c>
      <c r="C405" s="150">
        <f t="shared" si="187"/>
      </c>
      <c r="D405" s="149">
        <f t="shared" si="188"/>
      </c>
      <c r="E405" s="149">
        <f t="shared" si="191"/>
      </c>
      <c r="F405" s="151">
        <v>0</v>
      </c>
      <c r="G405" s="149">
        <f t="shared" si="192"/>
      </c>
      <c r="H405" s="152"/>
      <c r="I405" s="146"/>
      <c r="J405" s="86"/>
      <c r="K405" s="90">
        <f t="shared" si="186"/>
      </c>
      <c r="L405" s="153">
        <f t="shared" si="193"/>
      </c>
      <c r="M405" s="153">
        <f t="shared" si="194"/>
      </c>
      <c r="N405" s="153">
        <f t="shared" si="195"/>
      </c>
      <c r="O405" s="86"/>
      <c r="P405" s="86"/>
      <c r="Q405" s="158"/>
    </row>
    <row r="406" spans="1:17" ht="15.75">
      <c r="A406" s="148">
        <f t="shared" si="189"/>
      </c>
      <c r="B406" s="149">
        <f t="shared" si="190"/>
      </c>
      <c r="C406" s="150">
        <f t="shared" si="187"/>
      </c>
      <c r="D406" s="149">
        <f t="shared" si="188"/>
      </c>
      <c r="E406" s="149">
        <f t="shared" si="191"/>
      </c>
      <c r="F406" s="151">
        <v>0</v>
      </c>
      <c r="G406" s="149">
        <f t="shared" si="192"/>
      </c>
      <c r="H406" s="152"/>
      <c r="I406" s="146"/>
      <c r="J406" s="86"/>
      <c r="K406" s="90">
        <f t="shared" si="186"/>
      </c>
      <c r="L406" s="153">
        <f t="shared" si="193"/>
      </c>
      <c r="M406" s="153">
        <f t="shared" si="194"/>
      </c>
      <c r="N406" s="153">
        <f t="shared" si="195"/>
      </c>
      <c r="O406" s="86"/>
      <c r="P406" s="86"/>
      <c r="Q406" s="158"/>
    </row>
    <row r="407" spans="1:17" ht="15.75">
      <c r="A407" s="148">
        <f t="shared" si="189"/>
      </c>
      <c r="B407" s="149">
        <f t="shared" si="190"/>
      </c>
      <c r="C407" s="150">
        <f t="shared" si="187"/>
      </c>
      <c r="D407" s="149">
        <f t="shared" si="188"/>
      </c>
      <c r="E407" s="149">
        <f t="shared" si="191"/>
      </c>
      <c r="F407" s="151">
        <v>0</v>
      </c>
      <c r="G407" s="149">
        <f t="shared" si="192"/>
      </c>
      <c r="H407" s="152"/>
      <c r="I407" s="146"/>
      <c r="J407" s="86"/>
      <c r="K407" s="90">
        <f t="shared" si="186"/>
      </c>
      <c r="L407" s="153">
        <f t="shared" si="193"/>
      </c>
      <c r="M407" s="153">
        <f t="shared" si="194"/>
      </c>
      <c r="N407" s="153">
        <f t="shared" si="195"/>
      </c>
      <c r="O407" s="86"/>
      <c r="P407" s="86"/>
      <c r="Q407" s="158"/>
    </row>
    <row r="408" spans="1:17" ht="15.75">
      <c r="A408" s="148">
        <f t="shared" si="189"/>
      </c>
      <c r="B408" s="149">
        <f t="shared" si="190"/>
      </c>
      <c r="C408" s="150">
        <f t="shared" si="187"/>
      </c>
      <c r="D408" s="149">
        <f t="shared" si="188"/>
      </c>
      <c r="E408" s="149">
        <f t="shared" si="191"/>
      </c>
      <c r="F408" s="151">
        <v>0</v>
      </c>
      <c r="G408" s="149">
        <f t="shared" si="192"/>
      </c>
      <c r="H408" s="152"/>
      <c r="I408" s="146"/>
      <c r="J408" s="86"/>
      <c r="K408" s="90">
        <f t="shared" si="186"/>
      </c>
      <c r="L408" s="153">
        <f t="shared" si="193"/>
      </c>
      <c r="M408" s="153">
        <f t="shared" si="194"/>
      </c>
      <c r="N408" s="153">
        <f t="shared" si="195"/>
      </c>
      <c r="O408" s="86"/>
      <c r="P408" s="86"/>
      <c r="Q408" s="158"/>
    </row>
    <row r="409" spans="1:17" ht="15.75">
      <c r="A409" s="148">
        <f t="shared" si="189"/>
      </c>
      <c r="B409" s="149">
        <f t="shared" si="190"/>
      </c>
      <c r="C409" s="150">
        <f t="shared" si="187"/>
      </c>
      <c r="D409" s="149">
        <f t="shared" si="188"/>
      </c>
      <c r="E409" s="149">
        <f t="shared" si="191"/>
      </c>
      <c r="F409" s="151">
        <v>0</v>
      </c>
      <c r="G409" s="149">
        <f t="shared" si="192"/>
      </c>
      <c r="H409" s="152"/>
      <c r="I409" s="146"/>
      <c r="J409" s="86"/>
      <c r="K409" s="90">
        <f t="shared" si="186"/>
      </c>
      <c r="L409" s="153">
        <f t="shared" si="193"/>
      </c>
      <c r="M409" s="153">
        <f t="shared" si="194"/>
      </c>
      <c r="N409" s="153">
        <f t="shared" si="195"/>
      </c>
      <c r="O409" s="86"/>
      <c r="P409" s="86"/>
      <c r="Q409" s="158"/>
    </row>
    <row r="410" spans="1:17" ht="15.75">
      <c r="A410" s="148">
        <f t="shared" si="189"/>
      </c>
      <c r="B410" s="149">
        <f t="shared" si="190"/>
      </c>
      <c r="C410" s="150">
        <f t="shared" si="187"/>
      </c>
      <c r="D410" s="149">
        <f t="shared" si="188"/>
      </c>
      <c r="E410" s="149">
        <f t="shared" si="191"/>
      </c>
      <c r="F410" s="151">
        <v>0</v>
      </c>
      <c r="G410" s="149">
        <f t="shared" si="192"/>
      </c>
      <c r="H410" s="152"/>
      <c r="I410" s="146"/>
      <c r="J410" s="86"/>
      <c r="K410" s="90">
        <f t="shared" si="186"/>
      </c>
      <c r="L410" s="153">
        <f t="shared" si="193"/>
      </c>
      <c r="M410" s="153">
        <f t="shared" si="194"/>
      </c>
      <c r="N410" s="153">
        <f t="shared" si="195"/>
      </c>
      <c r="O410" s="86"/>
      <c r="P410" s="86"/>
      <c r="Q410" s="158"/>
    </row>
    <row r="411" spans="1:17" ht="15.75">
      <c r="A411" s="148">
        <f t="shared" si="189"/>
      </c>
      <c r="B411" s="149">
        <f t="shared" si="190"/>
      </c>
      <c r="C411" s="150">
        <f t="shared" si="187"/>
      </c>
      <c r="D411" s="149">
        <f t="shared" si="188"/>
      </c>
      <c r="E411" s="149">
        <f t="shared" si="191"/>
      </c>
      <c r="F411" s="151">
        <v>0</v>
      </c>
      <c r="G411" s="149">
        <f t="shared" si="192"/>
      </c>
      <c r="H411" s="152"/>
      <c r="I411" s="146"/>
      <c r="J411" s="86"/>
      <c r="K411" s="90">
        <f t="shared" si="186"/>
      </c>
      <c r="L411" s="153">
        <f t="shared" si="193"/>
      </c>
      <c r="M411" s="153">
        <f t="shared" si="194"/>
      </c>
      <c r="N411" s="153">
        <f t="shared" si="195"/>
      </c>
      <c r="O411" s="86"/>
      <c r="P411" s="86"/>
      <c r="Q411" s="158"/>
    </row>
    <row r="412" spans="1:17" ht="15.75">
      <c r="A412" s="148">
        <f t="shared" si="189"/>
      </c>
      <c r="B412" s="149">
        <f t="shared" si="190"/>
      </c>
      <c r="C412" s="150">
        <f t="shared" si="187"/>
      </c>
      <c r="D412" s="149">
        <f t="shared" si="188"/>
      </c>
      <c r="E412" s="149">
        <f t="shared" si="191"/>
      </c>
      <c r="F412" s="151">
        <v>0</v>
      </c>
      <c r="G412" s="149">
        <f t="shared" si="192"/>
      </c>
      <c r="H412" s="152"/>
      <c r="I412" s="146"/>
      <c r="J412" s="86"/>
      <c r="K412" s="90">
        <f t="shared" si="186"/>
      </c>
      <c r="L412" s="153">
        <f t="shared" si="193"/>
      </c>
      <c r="M412" s="153">
        <f t="shared" si="194"/>
      </c>
      <c r="N412" s="153">
        <f t="shared" si="195"/>
      </c>
      <c r="O412" s="86"/>
      <c r="P412" s="86"/>
      <c r="Q412" s="158"/>
    </row>
    <row r="413" spans="1:17" ht="15.75">
      <c r="A413" s="148">
        <f t="shared" si="189"/>
      </c>
      <c r="B413" s="149">
        <f t="shared" si="190"/>
      </c>
      <c r="C413" s="150">
        <f t="shared" si="187"/>
      </c>
      <c r="D413" s="149">
        <f t="shared" si="188"/>
      </c>
      <c r="E413" s="149">
        <f t="shared" si="191"/>
      </c>
      <c r="F413" s="151">
        <v>0</v>
      </c>
      <c r="G413" s="149">
        <f t="shared" si="192"/>
      </c>
      <c r="H413" s="152"/>
      <c r="I413" s="146"/>
      <c r="J413" s="86"/>
      <c r="K413" s="90">
        <f t="shared" si="186"/>
      </c>
      <c r="L413" s="153">
        <f t="shared" si="193"/>
      </c>
      <c r="M413" s="153">
        <f t="shared" si="194"/>
      </c>
      <c r="N413" s="153">
        <f t="shared" si="195"/>
      </c>
      <c r="O413" s="86"/>
      <c r="P413" s="86"/>
      <c r="Q413" s="158"/>
    </row>
    <row r="414" spans="1:17" ht="15.75">
      <c r="A414" s="162" t="s">
        <v>36</v>
      </c>
      <c r="B414" s="156"/>
      <c r="C414" s="163"/>
      <c r="D414" s="156"/>
      <c r="E414" s="156"/>
      <c r="F414" s="156"/>
      <c r="G414" s="156"/>
      <c r="H414" s="164"/>
      <c r="I414" s="146"/>
      <c r="J414" s="86"/>
      <c r="K414" s="86"/>
      <c r="L414" s="86"/>
      <c r="M414" s="86"/>
      <c r="N414" s="86"/>
      <c r="O414" s="86"/>
      <c r="P414" s="86"/>
      <c r="Q414" s="158"/>
    </row>
    <row r="415" spans="1:17" ht="15">
      <c r="A415" s="152"/>
      <c r="B415" s="152"/>
      <c r="C415" s="152"/>
      <c r="D415" s="152"/>
      <c r="E415" s="152"/>
      <c r="F415" s="152"/>
      <c r="G415" s="152"/>
      <c r="H415" s="152"/>
      <c r="I415" s="165"/>
      <c r="J415" s="86"/>
      <c r="K415" s="86"/>
      <c r="L415" s="86"/>
      <c r="M415" s="86"/>
      <c r="N415" s="86"/>
      <c r="O415" s="86"/>
      <c r="P415" s="86"/>
      <c r="Q415" s="158"/>
    </row>
    <row r="416" spans="1:17" ht="15">
      <c r="A416" s="152"/>
      <c r="B416" s="152"/>
      <c r="C416" s="152"/>
      <c r="D416" s="152"/>
      <c r="E416" s="152"/>
      <c r="F416" s="152"/>
      <c r="G416" s="152"/>
      <c r="H416" s="152"/>
      <c r="I416" s="165"/>
      <c r="J416" s="86"/>
      <c r="K416" s="86"/>
      <c r="L416" s="86"/>
      <c r="M416" s="86"/>
      <c r="N416" s="86"/>
      <c r="O416" s="86"/>
      <c r="P416" s="86"/>
      <c r="Q416" s="158"/>
    </row>
    <row r="417" spans="1:17" ht="15">
      <c r="A417" s="152"/>
      <c r="B417" s="152"/>
      <c r="C417" s="152"/>
      <c r="D417" s="152"/>
      <c r="E417" s="152"/>
      <c r="F417" s="152"/>
      <c r="G417" s="152"/>
      <c r="H417" s="152"/>
      <c r="I417" s="165"/>
      <c r="J417" s="86"/>
      <c r="K417" s="86"/>
      <c r="L417" s="86"/>
      <c r="M417" s="86"/>
      <c r="N417" s="86"/>
      <c r="O417" s="86"/>
      <c r="P417" s="86"/>
      <c r="Q417" s="158"/>
    </row>
  </sheetData>
  <sheetProtection/>
  <conditionalFormatting sqref="F14:F413">
    <cfRule type="cellIs" priority="1" dxfId="1" operator="equal" stopIfTrue="1">
      <formula>0</formula>
    </cfRule>
  </conditionalFormatting>
  <printOptions horizontalCentered="1"/>
  <pageMargins left="0.118110236220472" right="0.118110236220472" top="0.393700787401575" bottom="0.393700787401575" header="0.511811023622047" footer="0.511811023622047"/>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B2:U20"/>
  <sheetViews>
    <sheetView zoomScalePageLayoutView="0" workbookViewId="0" topLeftCell="A1">
      <selection activeCell="H17" sqref="H17"/>
    </sheetView>
  </sheetViews>
  <sheetFormatPr defaultColWidth="9.140625" defaultRowHeight="12"/>
  <cols>
    <col min="1" max="1" width="1.7109375" style="3" customWidth="1"/>
    <col min="2" max="2" width="15.7109375" style="3" customWidth="1"/>
    <col min="3" max="4" width="9.140625" style="3" customWidth="1"/>
    <col min="5" max="5" width="3.57421875" style="3" customWidth="1"/>
    <col min="6" max="8" width="14.57421875" style="3" customWidth="1"/>
    <col min="9" max="9" width="2.28125" style="3" customWidth="1"/>
    <col min="10" max="16384" width="9.140625" style="3" customWidth="1"/>
  </cols>
  <sheetData>
    <row r="1" ht="6.75" customHeight="1"/>
    <row r="2" spans="2:21" ht="18" customHeight="1">
      <c r="B2" s="60"/>
      <c r="C2" s="63"/>
      <c r="E2" s="24" t="s">
        <v>37</v>
      </c>
      <c r="F2" s="62"/>
      <c r="G2" s="195"/>
      <c r="H2" s="61"/>
      <c r="S2" s="30">
        <f>COUNTIF(Schedule!$F$14:$F$413,"&lt;0")</f>
        <v>0</v>
      </c>
      <c r="T2" s="30">
        <f>S2+S3</f>
        <v>0</v>
      </c>
      <c r="U2" s="30"/>
    </row>
    <row r="3" spans="2:21" ht="15">
      <c r="B3" s="166"/>
      <c r="C3" s="167"/>
      <c r="D3" s="167"/>
      <c r="E3" s="167"/>
      <c r="F3" s="168" t="s">
        <v>38</v>
      </c>
      <c r="G3" s="168" t="s">
        <v>39</v>
      </c>
      <c r="H3" s="168" t="s">
        <v>40</v>
      </c>
      <c r="I3" s="167"/>
      <c r="S3" s="30">
        <f>COUNTIF(Schedule!$F$14:$F$413,"&gt;0")</f>
        <v>0</v>
      </c>
      <c r="T3" s="30"/>
      <c r="U3" s="30"/>
    </row>
    <row r="4" spans="2:21" ht="15.75">
      <c r="B4" s="169" t="s">
        <v>41</v>
      </c>
      <c r="C4" s="170"/>
      <c r="D4" s="167"/>
      <c r="E4" s="171" t="s">
        <v>42</v>
      </c>
      <c r="F4" s="172">
        <f>Schedule!D3</f>
        <v>750000</v>
      </c>
      <c r="G4" s="173">
        <v>100000</v>
      </c>
      <c r="H4" s="173">
        <v>100000</v>
      </c>
      <c r="I4" s="167"/>
      <c r="S4" s="30" t="str">
        <f>CONCATENATE("       $ ",Schedule!$D$3," loan at ",Schedule!$D$4," % for ",Schedule!$D$5," years, ",Schedule!$D$6," pmts/year, compounded ",Schedule!$D$7,"x per year ",IF(Compare!$T$2=0,"",CONCATENATE("with ",Compare!$T$2," lump sum payment(s) made")))</f>
        <v>       $ 750000 loan at 6.5 % for 10 years, 2 pmts/year, compounded 2x per year </v>
      </c>
      <c r="T4" s="30"/>
      <c r="U4" s="30"/>
    </row>
    <row r="5" spans="2:21" ht="15.75">
      <c r="B5" s="169" t="s">
        <v>43</v>
      </c>
      <c r="C5" s="170"/>
      <c r="D5" s="167"/>
      <c r="E5" s="171" t="s">
        <v>44</v>
      </c>
      <c r="F5" s="172">
        <f>Schedule!D4</f>
        <v>6.5</v>
      </c>
      <c r="G5" s="174">
        <v>6.75</v>
      </c>
      <c r="H5" s="174">
        <v>8.75</v>
      </c>
      <c r="I5" s="167"/>
      <c r="S5" s="30"/>
      <c r="T5" s="30"/>
      <c r="U5" s="30"/>
    </row>
    <row r="6" spans="2:9" ht="15.75">
      <c r="B6" s="169" t="s">
        <v>45</v>
      </c>
      <c r="C6" s="170"/>
      <c r="D6" s="167"/>
      <c r="E6" s="167"/>
      <c r="F6" s="174">
        <f>Schedule!D5</f>
        <v>10</v>
      </c>
      <c r="G6" s="174">
        <v>10</v>
      </c>
      <c r="H6" s="174">
        <v>20</v>
      </c>
      <c r="I6" s="167"/>
    </row>
    <row r="7" spans="2:9" ht="15.75">
      <c r="B7" s="169" t="s">
        <v>46</v>
      </c>
      <c r="C7" s="170"/>
      <c r="D7" s="167"/>
      <c r="E7" s="167"/>
      <c r="F7" s="174">
        <f>Schedule!D6</f>
        <v>2</v>
      </c>
      <c r="G7" s="174">
        <v>12</v>
      </c>
      <c r="H7" s="174">
        <v>12</v>
      </c>
      <c r="I7" s="167"/>
    </row>
    <row r="8" spans="2:9" ht="15.75">
      <c r="B8" s="169" t="s">
        <v>47</v>
      </c>
      <c r="C8" s="170"/>
      <c r="D8" s="167"/>
      <c r="E8" s="167"/>
      <c r="F8" s="175">
        <f>Schedule!D7</f>
        <v>2</v>
      </c>
      <c r="G8" s="174">
        <v>2</v>
      </c>
      <c r="H8" s="174">
        <v>2</v>
      </c>
      <c r="I8" s="167"/>
    </row>
    <row r="9" spans="2:10" ht="15.75">
      <c r="B9" s="176">
        <f>IF(OR(OR(F6&lt;1,G6&lt;1),H6&lt;1),"WARNING: LOANS MUST BE AT LEAST ONE YEAR IN LENGTH",IF(OR(OR(F7&lt;1,G7&lt;1),H7&lt;1),"WARNING: MINIMUM OF ONE  PAYMENT PER YEAR REQUIRED",IF(OR(OR(F8&lt;1,G8&lt;1),H8&lt;1),"WARNING: AT LEAST ONE COMPOUND PER YEAR REQUIRED","")))</f>
      </c>
      <c r="C9" s="177"/>
      <c r="D9" s="178"/>
      <c r="E9" s="179"/>
      <c r="F9" s="180"/>
      <c r="G9" s="180"/>
      <c r="H9" s="180"/>
      <c r="I9" s="177"/>
      <c r="J9" s="10"/>
    </row>
    <row r="10" spans="2:10" ht="15.75">
      <c r="B10" s="181" t="s">
        <v>48</v>
      </c>
      <c r="C10" s="182"/>
      <c r="D10" s="183"/>
      <c r="E10" s="183"/>
      <c r="F10" s="184">
        <f>IF(AND(AND(AND(AND(F6&gt;=1,F7&gt;=1),F8&gt;=1),F4&gt;=0),F5&gt;=0),IF(F5=0,F4/F6/F7,((1+(F5/(F8*100)))^(F8/F7)-1)/(1-((1/(1+((1+(F5/(F8*100)))^(F8/F7)-1))^(F7*F6))))*F4),#VALUE!)</f>
        <v>51584.162892919696</v>
      </c>
      <c r="G10" s="184">
        <f>IF(AND(AND(AND(AND(G6&gt;=1,G7&gt;=1),G8&gt;=1),G4&gt;=0),G5&gt;=0),IF(G5=0,G4/G6/G7,((1+(G5/(G8*100)))^(G8/G7)-1)/(1-((1/(1+((1+(G5/(G8*100)))^(G8/G7)-1))^(G7*G6))))*G4),#VALUE!)</f>
        <v>1143.483790552178</v>
      </c>
      <c r="H10" s="184">
        <f>IF(AND(AND(AND(AND(H6&gt;=1,H7&gt;=1),H8&gt;=1),H4&gt;=0),H5&gt;=0),IF(H5=0,H4/H6/H7,((1+(H5/(H8*100)))^(H8/H7)-1)/(1-((1/(1+((1+(H5/(H8*100)))^(H8/H7)-1))^(H7*H6))))*H4),#VALUE!)</f>
        <v>873.8218896667225</v>
      </c>
      <c r="I10" s="183"/>
      <c r="J10" s="10"/>
    </row>
    <row r="11" spans="2:10" ht="15.75">
      <c r="B11" s="185" t="s">
        <v>49</v>
      </c>
      <c r="C11" s="186"/>
      <c r="D11" s="177"/>
      <c r="E11" s="177"/>
      <c r="F11" s="187">
        <f>F10*F6*F7-F4</f>
        <v>281683.25785839395</v>
      </c>
      <c r="G11" s="187">
        <f>G10*G6*G7-G4</f>
        <v>37218.05486626137</v>
      </c>
      <c r="H11" s="187">
        <f>H10*H6*H7-H4</f>
        <v>109717.25352001342</v>
      </c>
      <c r="I11" s="177"/>
      <c r="J11" s="10"/>
    </row>
    <row r="12" spans="2:10" ht="15.75">
      <c r="B12" s="188"/>
      <c r="C12" s="189"/>
      <c r="D12" s="190"/>
      <c r="E12" s="190"/>
      <c r="F12" s="191"/>
      <c r="G12" s="191"/>
      <c r="H12" s="191"/>
      <c r="I12" s="183"/>
      <c r="J12" s="10"/>
    </row>
    <row r="13" spans="2:9" ht="15.75">
      <c r="B13" s="181" t="s">
        <v>50</v>
      </c>
      <c r="C13" s="192"/>
      <c r="D13" s="183"/>
      <c r="E13" s="183"/>
      <c r="F13" s="193"/>
      <c r="G13" s="194">
        <f>F10-G10</f>
        <v>50440.67910236752</v>
      </c>
      <c r="H13" s="194">
        <f>F10-H10</f>
        <v>50710.34100325297</v>
      </c>
      <c r="I13" s="183"/>
    </row>
    <row r="14" spans="2:9" ht="15.75">
      <c r="B14" s="181" t="s">
        <v>51</v>
      </c>
      <c r="C14" s="182"/>
      <c r="D14" s="183"/>
      <c r="E14" s="183"/>
      <c r="F14" s="193"/>
      <c r="G14" s="194">
        <f>F11-G11</f>
        <v>244465.20299213257</v>
      </c>
      <c r="H14" s="194">
        <f>F11-H11</f>
        <v>171966.00433838053</v>
      </c>
      <c r="I14" s="183"/>
    </row>
    <row r="15" spans="2:9" ht="15">
      <c r="B15" s="183"/>
      <c r="C15" s="183"/>
      <c r="D15" s="183"/>
      <c r="E15" s="183"/>
      <c r="F15" s="183"/>
      <c r="G15" s="183"/>
      <c r="H15" s="183"/>
      <c r="I15" s="183"/>
    </row>
    <row r="16" spans="2:9" ht="15">
      <c r="B16" s="167"/>
      <c r="C16" s="167"/>
      <c r="D16" s="167"/>
      <c r="E16" s="167"/>
      <c r="F16" s="167"/>
      <c r="G16" s="167"/>
      <c r="H16" s="167"/>
      <c r="I16" s="167"/>
    </row>
    <row r="17" spans="2:9" ht="15">
      <c r="B17" s="167"/>
      <c r="C17" s="167"/>
      <c r="D17" s="167"/>
      <c r="E17" s="167"/>
      <c r="F17" s="167"/>
      <c r="G17" s="167"/>
      <c r="H17" s="167"/>
      <c r="I17" s="167"/>
    </row>
    <row r="18" spans="2:9" ht="15">
      <c r="B18" s="167"/>
      <c r="C18" s="167"/>
      <c r="D18" s="167"/>
      <c r="E18" s="167"/>
      <c r="F18" s="167"/>
      <c r="G18" s="167"/>
      <c r="H18" s="167"/>
      <c r="I18" s="167"/>
    </row>
    <row r="19" spans="2:9" ht="15">
      <c r="B19" s="167" t="s">
        <v>52</v>
      </c>
      <c r="C19" s="167"/>
      <c r="D19" s="167"/>
      <c r="E19" s="167"/>
      <c r="F19" s="167"/>
      <c r="G19" s="167"/>
      <c r="H19" s="167"/>
      <c r="I19" s="167"/>
    </row>
    <row r="20" spans="2:9" ht="15">
      <c r="B20" s="167"/>
      <c r="C20" s="167"/>
      <c r="D20" s="167"/>
      <c r="E20" s="167"/>
      <c r="F20" s="167"/>
      <c r="G20" s="167"/>
      <c r="H20" s="167"/>
      <c r="I20" s="167"/>
    </row>
  </sheetData>
  <sheetProtection/>
  <printOptions horizontalCentered="1"/>
  <pageMargins left="0.1968503937007874" right="0.1968503937007874" top="0.984251968503937" bottom="0.984251968503937" header="0.5118110236220472" footer="0.5118110236220472"/>
  <pageSetup horizontalDpi="600" verticalDpi="600" orientation="portrait" scale="115" r:id="rId3"/>
  <headerFooter alignWithMargins="0">
    <oddFooter>&amp;L&amp;YCopyright OMAFRA 1997&amp;CUser assumes all responsibility for use.</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2:H24"/>
  <sheetViews>
    <sheetView zoomScalePageLayoutView="0" workbookViewId="0" topLeftCell="A1">
      <selection activeCell="K7" sqref="K7"/>
    </sheetView>
  </sheetViews>
  <sheetFormatPr defaultColWidth="9.140625" defaultRowHeight="12"/>
  <cols>
    <col min="1" max="1" width="12.8515625" style="3" customWidth="1"/>
    <col min="2" max="2" width="11.421875" style="3" customWidth="1"/>
    <col min="3" max="5" width="9.140625" style="3" customWidth="1"/>
    <col min="6" max="6" width="16.28125" style="3" customWidth="1"/>
    <col min="7" max="16384" width="9.140625" style="3" customWidth="1"/>
  </cols>
  <sheetData>
    <row r="1" ht="6.75" customHeight="1"/>
    <row r="2" spans="1:6" ht="18">
      <c r="A2" s="2"/>
      <c r="B2" s="24" t="s">
        <v>53</v>
      </c>
      <c r="F2" s="7"/>
    </row>
    <row r="3" spans="1:8" ht="15">
      <c r="A3" s="167"/>
      <c r="B3" s="167"/>
      <c r="C3" s="167"/>
      <c r="D3" s="167"/>
      <c r="E3" s="167"/>
      <c r="F3" s="196"/>
      <c r="G3" s="167"/>
      <c r="H3" s="167"/>
    </row>
    <row r="4" spans="1:8" ht="15.75">
      <c r="A4" s="169" t="s">
        <v>54</v>
      </c>
      <c r="B4" s="167"/>
      <c r="C4" s="167"/>
      <c r="D4" s="167"/>
      <c r="E4" s="197" t="s">
        <v>42</v>
      </c>
      <c r="F4" s="172">
        <f>Schedule!D3</f>
        <v>750000</v>
      </c>
      <c r="G4" s="167"/>
      <c r="H4" s="167"/>
    </row>
    <row r="5" spans="1:8" ht="15.75">
      <c r="A5" s="169" t="s">
        <v>55</v>
      </c>
      <c r="B5" s="167"/>
      <c r="C5" s="167"/>
      <c r="D5" s="167"/>
      <c r="E5" s="198"/>
      <c r="F5" s="199">
        <f>Schedule!D4</f>
        <v>6.5</v>
      </c>
      <c r="G5" s="167"/>
      <c r="H5" s="167"/>
    </row>
    <row r="6" spans="1:8" ht="15.75">
      <c r="A6" s="169" t="s">
        <v>56</v>
      </c>
      <c r="B6" s="167"/>
      <c r="C6" s="167"/>
      <c r="D6" s="167"/>
      <c r="E6" s="166"/>
      <c r="F6" s="199">
        <f>Schedule!D5</f>
        <v>10</v>
      </c>
      <c r="G6" s="167"/>
      <c r="H6" s="167"/>
    </row>
    <row r="7" spans="1:8" ht="15.75">
      <c r="A7" s="169" t="s">
        <v>57</v>
      </c>
      <c r="B7" s="167"/>
      <c r="C7" s="167"/>
      <c r="D7" s="167"/>
      <c r="E7" s="167"/>
      <c r="F7" s="174">
        <f>Schedule!D6</f>
        <v>2</v>
      </c>
      <c r="G7" s="167"/>
      <c r="H7" s="167"/>
    </row>
    <row r="8" spans="1:8" ht="15.75">
      <c r="A8" s="169" t="s">
        <v>47</v>
      </c>
      <c r="B8" s="167"/>
      <c r="C8" s="167"/>
      <c r="D8" s="167"/>
      <c r="E8" s="167"/>
      <c r="F8" s="200">
        <f>Schedule!D7</f>
        <v>2</v>
      </c>
      <c r="G8" s="167"/>
      <c r="H8" s="167"/>
    </row>
    <row r="9" spans="1:8" ht="9" customHeight="1">
      <c r="A9" s="201"/>
      <c r="B9" s="202"/>
      <c r="C9" s="202"/>
      <c r="D9" s="202"/>
      <c r="E9" s="202"/>
      <c r="F9" s="203"/>
      <c r="G9" s="202"/>
      <c r="H9" s="167"/>
    </row>
    <row r="10" spans="1:8" ht="15.75">
      <c r="A10" s="204"/>
      <c r="B10" s="205" t="s">
        <v>58</v>
      </c>
      <c r="C10" s="167"/>
      <c r="D10" s="167"/>
      <c r="E10" s="206" t="s">
        <v>42</v>
      </c>
      <c r="F10" s="172">
        <v>10000</v>
      </c>
      <c r="G10" s="167"/>
      <c r="H10" s="167"/>
    </row>
    <row r="11" spans="1:8" ht="15.75">
      <c r="A11" s="207">
        <f>IF(AND(AND(AND(AND(F4&gt;=0,F5&gt;=0),F6&gt;=1),F7&gt;=1),F8&gt;=1),1,0)</f>
        <v>1</v>
      </c>
      <c r="B11" s="205" t="s">
        <v>59</v>
      </c>
      <c r="C11" s="167"/>
      <c r="D11" s="167"/>
      <c r="E11" s="167"/>
      <c r="F11" s="200">
        <v>24</v>
      </c>
      <c r="G11" s="208" t="str">
        <f>IF(F11=0,"",+"  = "&amp;FIXED(F11/F7,1,TRUE)&amp;" years")</f>
        <v>  = 12.0 years</v>
      </c>
      <c r="H11" s="167"/>
    </row>
    <row r="12" spans="1:8" ht="9" customHeight="1">
      <c r="A12" s="209">
        <f>IF(F7&lt;1,"   Warning: Number of payments is less than 1 per year, check input.",IF(F6&lt;1,"  Warning: Length is less than one year, check input.",IF(F8&lt;1,"   Warning: Compounds per year is less than 1, check input.","")))</f>
      </c>
      <c r="B12" s="167"/>
      <c r="C12" s="167"/>
      <c r="D12" s="167"/>
      <c r="E12" s="167"/>
      <c r="F12" s="204"/>
      <c r="G12" s="167"/>
      <c r="H12" s="167"/>
    </row>
    <row r="13" spans="1:8" ht="15.75">
      <c r="A13" s="169" t="s">
        <v>60</v>
      </c>
      <c r="B13" s="167"/>
      <c r="C13" s="167"/>
      <c r="D13" s="210">
        <f>PMT(((1+(F5/(F8*100)))^(F8/F7)-1),F6*F7,-F4)</f>
        <v>51584.16289291972</v>
      </c>
      <c r="E13" s="211" t="s">
        <v>42</v>
      </c>
      <c r="F13" s="212" t="str">
        <f>IF(A11=1,IF(D14&gt;=F10,IF(F6*F7&gt;=F11,PMT(((1+(F5/(F8*100)))^(F8/F7)-1),F6*F7,-F4),"     THE"),"THE AMOUNT OF"),#VALUE!)</f>
        <v>     THE</v>
      </c>
      <c r="G13" s="167"/>
      <c r="H13" s="167"/>
    </row>
    <row r="14" spans="1:8" ht="15.75">
      <c r="A14" s="169" t="s">
        <v>61</v>
      </c>
      <c r="B14" s="167"/>
      <c r="C14" s="167"/>
      <c r="D14" s="213">
        <f>PV(((1+($F$5/($F$8*100)))^($F$8/$F$7)-1),$F$11,-$D$13)</f>
        <v>850537.3965756993</v>
      </c>
      <c r="E14" s="211" t="s">
        <v>42</v>
      </c>
      <c r="F14" s="214" t="str">
        <f>IF($A$11=1,IF($D$14&gt;=$F$10,IF($F$7*$F$6&gt;=$F$11,PV(((1+($F$5/($F$8*100)))^($F$8/$F$7)-1),$F$11,-$F$13),"  NUMBER OF"),"  PREPAYMENT"),#VALUE!)</f>
        <v>  NUMBER OF</v>
      </c>
      <c r="G14" s="167"/>
      <c r="H14" s="167"/>
    </row>
    <row r="15" spans="1:8" ht="15.75">
      <c r="A15" s="169" t="s">
        <v>62</v>
      </c>
      <c r="B15" s="167"/>
      <c r="C15" s="167"/>
      <c r="D15" s="167"/>
      <c r="E15" s="211" t="s">
        <v>42</v>
      </c>
      <c r="F15" s="214" t="str">
        <f>IF(A11=1,IF(D14&gt;=F10,IF(F6*F7&gt;=F11,+F11*F13-F14,"   PAYMENTS"),"   PROPOSED"),#VALUE!)</f>
        <v>   PAYMENTS</v>
      </c>
      <c r="G15" s="167"/>
      <c r="H15" s="167"/>
    </row>
    <row r="16" spans="1:8" ht="15.75">
      <c r="A16" s="169" t="s">
        <v>63</v>
      </c>
      <c r="B16" s="167"/>
      <c r="C16" s="167"/>
      <c r="D16" s="167"/>
      <c r="E16" s="211" t="s">
        <v>42</v>
      </c>
      <c r="F16" s="214" t="str">
        <f>IF(A11=1,IF(D14&gt;=F10,IF(F7*F6&gt;=F11,+F14-F10,"  REMAINING"),"  IS GREATER"),#VALUE!)</f>
        <v>  REMAINING</v>
      </c>
      <c r="G16" s="167"/>
      <c r="H16" s="167"/>
    </row>
    <row r="17" spans="1:8" ht="15.75">
      <c r="A17" s="169" t="s">
        <v>64</v>
      </c>
      <c r="B17" s="167"/>
      <c r="C17" s="167"/>
      <c r="D17" s="167"/>
      <c r="E17" s="211" t="s">
        <v>42</v>
      </c>
      <c r="F17" s="214" t="str">
        <f>IF(A11=1,IF(D14&gt;=F10,IF(F6*F7&gt;=F11,+F18*F13-F16,"   EXCEEDS"),"    THAN"),#VALUE!)</f>
        <v>   EXCEEDS</v>
      </c>
      <c r="G17" s="167"/>
      <c r="H17" s="167"/>
    </row>
    <row r="18" spans="1:8" ht="15.75">
      <c r="A18" s="169" t="s">
        <v>65</v>
      </c>
      <c r="B18" s="167"/>
      <c r="C18" s="167"/>
      <c r="D18" s="167"/>
      <c r="E18" s="167"/>
      <c r="F18" s="215" t="str">
        <f>IF(A11=1,IF(D14&gt;=F10,IF(F6*F7&gt;=F11,-1*(NPER(((1+($F$5/($F$8*100)))^($F$8/$F$7)-1),-$F$13,,-1*$F$16))," THE NUMBER"),"THE REMAINING"),#VALUE!)</f>
        <v> THE NUMBER</v>
      </c>
      <c r="G18" s="208">
        <f>IF(ISNUMBER(F15),IF(F15=0,"",+"  = "&amp;FIXED(F18/F7,1,TRUE)&amp;" years"),"")</f>
      </c>
      <c r="H18" s="213"/>
    </row>
    <row r="19" spans="1:8" ht="15.75">
      <c r="A19" s="169" t="s">
        <v>66</v>
      </c>
      <c r="B19" s="167"/>
      <c r="C19" s="167"/>
      <c r="D19" s="167"/>
      <c r="E19" s="167"/>
      <c r="F19" s="215" t="str">
        <f>IF(A11=1,IF(D14&gt;=F10,IF(F6*F7&gt;=F11,F11-F18," IN ORIGINAL"),"     LOAN"),#VALUE!)</f>
        <v> IN ORIGINAL</v>
      </c>
      <c r="G19" s="208">
        <f>IF(ISNUMBER(F15),IF(F16=0,"",+"  = "&amp;FIXED(F19/F7,1,TRUE)&amp;" years"),"")</f>
      </c>
      <c r="H19" s="167"/>
    </row>
    <row r="20" spans="1:8" ht="15.75">
      <c r="A20" s="169" t="s">
        <v>67</v>
      </c>
      <c r="B20" s="167"/>
      <c r="C20" s="167"/>
      <c r="D20" s="167"/>
      <c r="E20" s="211" t="s">
        <v>42</v>
      </c>
      <c r="F20" s="216" t="str">
        <f>IF(A11=1,IF(D14&gt;=F10,IF(F6*F7&gt;=F11,F15-F17,"     LOAN"),"   BALANCE OF "),#VALUE!)</f>
        <v>     LOAN</v>
      </c>
      <c r="G20" s="217">
        <f>IF(A11=1,IF(F10&gt;D14,PV(((1+($F$5/($F$8*100)))^($F$8/$F$7)-1),$F$11,-$D$13),""),"")</f>
      </c>
      <c r="H20" s="167"/>
    </row>
    <row r="21" spans="1:8" ht="3.75" customHeight="1">
      <c r="A21" s="167"/>
      <c r="B21" s="167"/>
      <c r="C21" s="167"/>
      <c r="D21" s="167"/>
      <c r="E21" s="167"/>
      <c r="F21" s="166"/>
      <c r="G21" s="167"/>
      <c r="H21" s="167"/>
    </row>
    <row r="22" spans="1:8" ht="7.5" customHeight="1">
      <c r="A22" s="167"/>
      <c r="B22" s="167"/>
      <c r="C22" s="167"/>
      <c r="D22" s="167"/>
      <c r="E22" s="167"/>
      <c r="F22" s="167"/>
      <c r="G22" s="167"/>
      <c r="H22" s="167"/>
    </row>
    <row r="23" spans="1:8" ht="15">
      <c r="A23" s="167" t="s">
        <v>68</v>
      </c>
      <c r="B23" s="167"/>
      <c r="C23" s="167"/>
      <c r="D23" s="167"/>
      <c r="E23" s="167"/>
      <c r="F23" s="167"/>
      <c r="G23" s="167"/>
      <c r="H23" s="167"/>
    </row>
    <row r="24" spans="1:8" ht="15">
      <c r="A24" s="167"/>
      <c r="B24" s="167"/>
      <c r="C24" s="167"/>
      <c r="D24" s="167"/>
      <c r="E24" s="167"/>
      <c r="F24" s="167"/>
      <c r="G24" s="167"/>
      <c r="H24" s="167"/>
    </row>
  </sheetData>
  <sheetProtection/>
  <printOptions/>
  <pageMargins left="0.75" right="0.75" top="1" bottom="1" header="0.5" footer="0.5"/>
  <pageSetup horizontalDpi="600" verticalDpi="600" orientation="portrait" scale="120" r:id="rId3"/>
  <legacyDrawing r:id="rId2"/>
</worksheet>
</file>

<file path=xl/worksheets/sheet6.xml><?xml version="1.0" encoding="utf-8"?>
<worksheet xmlns="http://schemas.openxmlformats.org/spreadsheetml/2006/main" xmlns:r="http://schemas.openxmlformats.org/officeDocument/2006/relationships">
  <sheetPr codeName="Sheet6"/>
  <dimension ref="A1:S42"/>
  <sheetViews>
    <sheetView zoomScalePageLayoutView="0" workbookViewId="0" topLeftCell="A1">
      <selection activeCell="A1" sqref="A1"/>
    </sheetView>
  </sheetViews>
  <sheetFormatPr defaultColWidth="9.140625" defaultRowHeight="12"/>
  <cols>
    <col min="1" max="1" width="2.7109375" style="3" customWidth="1"/>
    <col min="2" max="2" width="14.140625" style="3" customWidth="1"/>
    <col min="3" max="3" width="22.7109375" style="3" customWidth="1"/>
    <col min="4" max="4" width="13.421875" style="3" customWidth="1"/>
    <col min="5" max="5" width="5.28125" style="3" customWidth="1"/>
    <col min="6" max="6" width="11.00390625" style="3" customWidth="1"/>
    <col min="7" max="7" width="29.140625" style="3" customWidth="1"/>
    <col min="8" max="8" width="26.00390625" style="3" customWidth="1"/>
    <col min="9" max="16384" width="9.140625" style="3" customWidth="1"/>
  </cols>
  <sheetData>
    <row r="1" spans="2:19" ht="18">
      <c r="B1" s="58"/>
      <c r="C1" s="24" t="s">
        <v>69</v>
      </c>
      <c r="G1" s="56"/>
      <c r="S1" s="66">
        <f>IF(AND(AND(AND(AND(G3&gt;0,G4&gt;=0),G5&gt;=1),G6&gt;=1),G7&gt;=1),0,1)</f>
        <v>0</v>
      </c>
    </row>
    <row r="2" spans="2:19" ht="6.75" customHeight="1">
      <c r="B2" s="58"/>
      <c r="C2" s="59"/>
      <c r="G2" s="56"/>
      <c r="S2" s="2"/>
    </row>
    <row r="3" spans="1:10" ht="15.75">
      <c r="A3" s="167"/>
      <c r="B3" s="218" t="s">
        <v>70</v>
      </c>
      <c r="C3" s="167"/>
      <c r="D3" s="167"/>
      <c r="E3" s="167"/>
      <c r="F3" s="206" t="s">
        <v>42</v>
      </c>
      <c r="G3" s="219">
        <f>Schedule!D3</f>
        <v>750000</v>
      </c>
      <c r="H3" s="220"/>
      <c r="I3" s="9"/>
      <c r="J3" s="10"/>
    </row>
    <row r="4" spans="1:10" ht="15.75">
      <c r="A4" s="167"/>
      <c r="B4" s="221" t="s">
        <v>71</v>
      </c>
      <c r="C4" s="167"/>
      <c r="D4" s="167"/>
      <c r="E4" s="167"/>
      <c r="F4" s="206" t="s">
        <v>44</v>
      </c>
      <c r="G4" s="222">
        <f>Schedule!D4</f>
        <v>6.5</v>
      </c>
      <c r="H4" s="220"/>
      <c r="I4" s="10"/>
      <c r="J4" s="10"/>
    </row>
    <row r="5" spans="1:10" ht="15.75">
      <c r="A5" s="167"/>
      <c r="B5" s="221" t="s">
        <v>72</v>
      </c>
      <c r="C5" s="167"/>
      <c r="D5" s="167"/>
      <c r="E5" s="167"/>
      <c r="F5" s="167"/>
      <c r="G5" s="222">
        <f>Schedule!D5</f>
        <v>10</v>
      </c>
      <c r="H5" s="220"/>
      <c r="I5" s="10"/>
      <c r="J5" s="10"/>
    </row>
    <row r="6" spans="1:10" ht="15.75">
      <c r="A6" s="167"/>
      <c r="B6" s="221" t="s">
        <v>73</v>
      </c>
      <c r="C6" s="167"/>
      <c r="D6" s="167"/>
      <c r="E6" s="167"/>
      <c r="F6" s="167"/>
      <c r="G6" s="174">
        <f>Schedule!D6</f>
        <v>2</v>
      </c>
      <c r="H6" s="220"/>
      <c r="I6" s="10"/>
      <c r="J6" s="10"/>
    </row>
    <row r="7" spans="1:8" ht="15.75">
      <c r="A7" s="167"/>
      <c r="B7" s="221" t="s">
        <v>74</v>
      </c>
      <c r="C7" s="167"/>
      <c r="D7" s="167"/>
      <c r="E7" s="167"/>
      <c r="F7" s="210">
        <f>IF(AND(AND(AND(AND(AND(G3&gt;0,G4&gt;0),G5&gt;=1),G6&gt;=1),G7&gt;=1),G8&gt;0),0,1)</f>
        <v>0</v>
      </c>
      <c r="G7" s="222">
        <f>Schedule!D7</f>
        <v>2</v>
      </c>
      <c r="H7" s="220"/>
    </row>
    <row r="8" spans="1:8" ht="15.75">
      <c r="A8" s="167"/>
      <c r="B8" s="167"/>
      <c r="C8" s="223" t="s">
        <v>75</v>
      </c>
      <c r="D8" s="167"/>
      <c r="E8" s="167"/>
      <c r="F8" s="206" t="s">
        <v>44</v>
      </c>
      <c r="G8" s="224">
        <v>7</v>
      </c>
      <c r="H8" s="220"/>
    </row>
    <row r="9" spans="1:9" ht="15.75">
      <c r="A9" s="167"/>
      <c r="B9" s="167"/>
      <c r="C9" s="225" t="s">
        <v>76</v>
      </c>
      <c r="D9" s="167"/>
      <c r="E9" s="167"/>
      <c r="F9" s="206" t="s">
        <v>42</v>
      </c>
      <c r="G9" s="226">
        <v>2000</v>
      </c>
      <c r="H9" s="220"/>
      <c r="I9" s="10"/>
    </row>
    <row r="10" spans="1:8" ht="15.75">
      <c r="A10" s="167"/>
      <c r="B10" s="221" t="s">
        <v>77</v>
      </c>
      <c r="C10" s="167"/>
      <c r="D10" s="167"/>
      <c r="E10" s="167"/>
      <c r="F10" s="167"/>
      <c r="G10" s="222">
        <v>84</v>
      </c>
      <c r="H10" s="227" t="str">
        <f>IF(G10=0,"",+"  = "&amp;FIXED(G10/G6,1,TRUE)&amp;" years")</f>
        <v>  = 42.0 years</v>
      </c>
    </row>
    <row r="11" spans="1:8" ht="15.75">
      <c r="A11" s="167"/>
      <c r="B11" s="221" t="s">
        <v>78</v>
      </c>
      <c r="C11" s="167"/>
      <c r="D11" s="167"/>
      <c r="E11" s="167"/>
      <c r="F11" s="167"/>
      <c r="G11" s="222">
        <v>24</v>
      </c>
      <c r="H11" s="227" t="str">
        <f>IF(G11=0,"",+"  = "&amp;FIXED(G11/G6,1,TRUE)&amp;" years")</f>
        <v>  = 12.0 years</v>
      </c>
    </row>
    <row r="12" spans="1:8" ht="15.75">
      <c r="A12" s="167"/>
      <c r="B12" s="221" t="s">
        <v>79</v>
      </c>
      <c r="C12" s="167"/>
      <c r="D12" s="167"/>
      <c r="E12" s="167"/>
      <c r="F12" s="167"/>
      <c r="G12" s="228">
        <f>G10-G11</f>
        <v>60</v>
      </c>
      <c r="H12" s="227" t="str">
        <f>IF(G12=0,"",+"  = "&amp;FIXED(G12/G6,1,TRUE)&amp;" years")</f>
        <v>  = 30.0 years</v>
      </c>
    </row>
    <row r="13" spans="1:8" ht="15.75">
      <c r="A13" s="167"/>
      <c r="B13" s="209">
        <f>IF(G6&lt;1,"   Warning: Number of payments is less than 1 per year, check input.",IF(G5&lt;1,"  Warning: Length is less than one year, check input.",IF(G7&lt;1,"   Warning: Compounds per year is less than 1, check input.",IF(G4&lt;0,"  Warning: The new interest rate must be at least 0",IF(G8&lt;0,"Warning: The interest rate must be at least 0","")))))</f>
      </c>
      <c r="C13" s="202"/>
      <c r="D13" s="202"/>
      <c r="E13" s="202"/>
      <c r="F13" s="202"/>
      <c r="G13" s="229"/>
      <c r="H13" s="202"/>
    </row>
    <row r="14" spans="1:8" ht="15.75">
      <c r="A14" s="167"/>
      <c r="B14" s="167"/>
      <c r="C14" s="221" t="s">
        <v>80</v>
      </c>
      <c r="D14" s="167"/>
      <c r="E14" s="167"/>
      <c r="F14" s="206" t="s">
        <v>42</v>
      </c>
      <c r="G14" s="230" t="str">
        <f>IF(G5*G6&gt;=G10,PV(((1+(G4/(G7*100)))^(G7/G6)-1),G10,-$G16),"NUMBER OF PAYMENTS")</f>
        <v>NUMBER OF PAYMENTS</v>
      </c>
      <c r="H14" s="167"/>
    </row>
    <row r="15" spans="1:8" ht="15.75">
      <c r="A15" s="167"/>
      <c r="B15" s="167"/>
      <c r="C15" s="221" t="s">
        <v>81</v>
      </c>
      <c r="D15" s="167"/>
      <c r="E15" s="167"/>
      <c r="F15" s="206" t="s">
        <v>42</v>
      </c>
      <c r="G15" s="230" t="str">
        <f>IF(G5*G6&gt;=G10,G10*G16-G14,"   REMAINING EXCEEDS")</f>
        <v>   REMAINING EXCEEDS</v>
      </c>
      <c r="H15" s="167"/>
    </row>
    <row r="16" spans="1:8" ht="15.75">
      <c r="A16" s="167"/>
      <c r="B16" s="167"/>
      <c r="C16" s="221" t="s">
        <v>82</v>
      </c>
      <c r="D16" s="167"/>
      <c r="E16" s="167"/>
      <c r="F16" s="206" t="s">
        <v>42</v>
      </c>
      <c r="G16" s="231" t="str">
        <f>IF(G5*G6&gt;=G10,IF(S1=1,#VALUE!,PMT(((1+(G4/(G7*100)))^(G7/G6)-1),G6*G5,-G3)),"    ORIGINAL NUMBER")</f>
        <v>    ORIGINAL NUMBER</v>
      </c>
      <c r="H16" s="167"/>
    </row>
    <row r="17" spans="1:8" ht="15.75">
      <c r="A17" s="167"/>
      <c r="B17" s="167"/>
      <c r="C17" s="170"/>
      <c r="D17" s="167"/>
      <c r="E17" s="167"/>
      <c r="F17" s="206"/>
      <c r="G17" s="232"/>
      <c r="H17" s="167"/>
    </row>
    <row r="18" spans="1:8" ht="15">
      <c r="A18" s="167"/>
      <c r="B18" s="170"/>
      <c r="C18" s="202"/>
      <c r="D18" s="202"/>
      <c r="E18" s="202"/>
      <c r="F18" s="202"/>
      <c r="G18" s="202"/>
      <c r="H18" s="202"/>
    </row>
    <row r="19" spans="1:9" ht="15">
      <c r="A19" s="167"/>
      <c r="B19" s="221" t="str">
        <f>CONCATENATE("       Calculations below are only for the interval until the end of the term of the current loan (",G11," more payments)")</f>
        <v>       Calculations below are only for the interval until the end of the term of the current loan (24 more payments)</v>
      </c>
      <c r="C19" s="167"/>
      <c r="D19" s="167"/>
      <c r="E19" s="167"/>
      <c r="F19" s="167"/>
      <c r="G19" s="167"/>
      <c r="H19" s="208"/>
      <c r="I19" s="20"/>
    </row>
    <row r="20" spans="1:8" ht="15">
      <c r="A20" s="167"/>
      <c r="B20" s="167"/>
      <c r="C20" s="167"/>
      <c r="D20" s="167"/>
      <c r="E20" s="167"/>
      <c r="F20" s="167"/>
      <c r="G20" s="167"/>
      <c r="H20" s="167"/>
    </row>
    <row r="21" spans="1:8" ht="15">
      <c r="A21" s="167"/>
      <c r="B21" s="167"/>
      <c r="C21" s="167"/>
      <c r="D21" s="167"/>
      <c r="E21" s="167"/>
      <c r="F21" s="167"/>
      <c r="G21" s="167"/>
      <c r="H21" s="233"/>
    </row>
    <row r="22" spans="1:8" ht="15">
      <c r="A22" s="167"/>
      <c r="B22" s="170"/>
      <c r="C22" s="167"/>
      <c r="D22" s="167"/>
      <c r="E22" s="167"/>
      <c r="F22" s="234" t="s">
        <v>83</v>
      </c>
      <c r="G22" s="234" t="s">
        <v>84</v>
      </c>
      <c r="H22" s="234" t="s">
        <v>85</v>
      </c>
    </row>
    <row r="23" spans="1:8" ht="15.75">
      <c r="A23" s="167"/>
      <c r="B23" s="225" t="s">
        <v>86</v>
      </c>
      <c r="C23" s="167"/>
      <c r="D23" s="167"/>
      <c r="E23" s="206" t="s">
        <v>42</v>
      </c>
      <c r="F23" s="235" t="e">
        <f>IF($G$14="NUMBER OF PAYMENTS",#VALUE!,$G$14)</f>
        <v>#VALUE!</v>
      </c>
      <c r="G23" s="235" t="e">
        <f>IF($G$14="NUMBER OF PAYMENTS",#VALUE!,$G$14)</f>
        <v>#VALUE!</v>
      </c>
      <c r="H23" s="235" t="e">
        <f>IF($G$14="NUMBER OF PAYMENTS",#VALUE!,$G$14)</f>
        <v>#VALUE!</v>
      </c>
    </row>
    <row r="24" spans="1:8" ht="15.75">
      <c r="A24" s="167"/>
      <c r="B24" s="223" t="s">
        <v>87</v>
      </c>
      <c r="C24" s="167"/>
      <c r="D24" s="167"/>
      <c r="E24" s="206" t="s">
        <v>42</v>
      </c>
      <c r="F24" s="235" t="e">
        <f>IF(G14="number of Payments",#VALUE!,$G$16)</f>
        <v>#VALUE!</v>
      </c>
      <c r="G24" s="235" t="str">
        <f>IF(H14="number of Payments",#VALUE!,$G$16)</f>
        <v>    ORIGINAL NUMBER</v>
      </c>
      <c r="H24" s="235" t="str">
        <f>IF(I14="number of Payments",#VALUE!,$G$16)</f>
        <v>    ORIGINAL NUMBER</v>
      </c>
    </row>
    <row r="25" spans="1:8" ht="15.75">
      <c r="A25" s="167"/>
      <c r="B25" s="225" t="s">
        <v>88</v>
      </c>
      <c r="C25" s="167"/>
      <c r="D25" s="167"/>
      <c r="E25" s="206" t="s">
        <v>42</v>
      </c>
      <c r="F25" s="235" t="e">
        <f>F23+G9</f>
        <v>#VALUE!</v>
      </c>
      <c r="G25" s="235" t="e">
        <f>G23</f>
        <v>#VALUE!</v>
      </c>
      <c r="H25" s="235" t="e">
        <f>H23+G9</f>
        <v>#VALUE!</v>
      </c>
    </row>
    <row r="26" spans="1:8" ht="15.75">
      <c r="A26" s="167"/>
      <c r="B26" s="221"/>
      <c r="C26" s="167"/>
      <c r="D26" s="167"/>
      <c r="E26" s="167"/>
      <c r="F26" s="236"/>
      <c r="G26" s="235"/>
      <c r="H26" s="235"/>
    </row>
    <row r="27" spans="1:8" ht="15.75">
      <c r="A27" s="167"/>
      <c r="B27" s="225" t="s">
        <v>89</v>
      </c>
      <c r="C27" s="167"/>
      <c r="D27" s="167"/>
      <c r="E27" s="206" t="s">
        <v>42</v>
      </c>
      <c r="F27" s="235" t="e">
        <f>PMT(((1+($G$8/($G$7*100)))^($G$7/$G$6)-1),$G$10,-F25)</f>
        <v>#VALUE!</v>
      </c>
      <c r="G27" s="235" t="e">
        <f>PMT(((1+($G$8/($G$7*100)))^($G$7/$G$6)-1),$G$10,-G25)</f>
        <v>#VALUE!</v>
      </c>
      <c r="H27" s="235" t="str">
        <f>H24</f>
        <v>    ORIGINAL NUMBER</v>
      </c>
    </row>
    <row r="28" spans="1:8" ht="15.75">
      <c r="A28" s="167"/>
      <c r="B28" s="225" t="s">
        <v>90</v>
      </c>
      <c r="C28" s="167"/>
      <c r="D28" s="167"/>
      <c r="E28" s="206" t="s">
        <v>42</v>
      </c>
      <c r="F28" s="235" t="e">
        <f>F24-F27</f>
        <v>#VALUE!</v>
      </c>
      <c r="G28" s="235" t="e">
        <f>G24-G27</f>
        <v>#VALUE!</v>
      </c>
      <c r="H28" s="235">
        <v>0</v>
      </c>
    </row>
    <row r="29" spans="1:8" ht="15.75">
      <c r="A29" s="167"/>
      <c r="B29" s="237" t="str">
        <f>" Total Savings on the Next "&amp;FIXED(G11,0,TRUE)&amp;" Pmts"</f>
        <v> Total Savings on the Next 24 Pmts</v>
      </c>
      <c r="C29" s="167"/>
      <c r="D29" s="167"/>
      <c r="E29" s="167"/>
      <c r="F29" s="235" t="e">
        <f>G11*F28</f>
        <v>#VALUE!</v>
      </c>
      <c r="G29" s="235" t="e">
        <f>G11*G28</f>
        <v>#VALUE!</v>
      </c>
      <c r="H29" s="235">
        <v>0</v>
      </c>
    </row>
    <row r="30" spans="1:8" ht="15">
      <c r="A30" s="167"/>
      <c r="B30" s="202"/>
      <c r="C30" s="202"/>
      <c r="D30" s="202"/>
      <c r="E30" s="202"/>
      <c r="F30" s="202"/>
      <c r="G30" s="202"/>
      <c r="H30" s="202"/>
    </row>
    <row r="31" spans="1:8" ht="15.75">
      <c r="A31" s="167"/>
      <c r="B31" s="238" t="str">
        <f>"  Loan Balance at the End of the Original Loan Term of "&amp;FIXED((G5*G6-G12)/G6,1,TRUE)&amp;" Years:"</f>
        <v>  Loan Balance at the End of the Original Loan Term of -20.0 Years:</v>
      </c>
      <c r="C31" s="167"/>
      <c r="D31" s="167"/>
      <c r="E31" s="167"/>
      <c r="F31" s="167"/>
      <c r="G31" s="167"/>
      <c r="H31" s="167"/>
    </row>
    <row r="32" spans="1:8" ht="15">
      <c r="A32" s="167"/>
      <c r="B32" s="239"/>
      <c r="C32" s="167"/>
      <c r="D32" s="167"/>
      <c r="E32" s="167"/>
      <c r="F32" s="167"/>
      <c r="G32" s="167"/>
      <c r="H32" s="167"/>
    </row>
    <row r="33" spans="1:8" ht="15.75">
      <c r="A33" s="167"/>
      <c r="B33" s="225" t="s">
        <v>91</v>
      </c>
      <c r="C33" s="167"/>
      <c r="D33" s="167"/>
      <c r="E33" s="206" t="s">
        <v>42</v>
      </c>
      <c r="F33" s="230" t="e">
        <f>PV(((1+($G$4/($G$7*100)))^($G$7/$G$6)-1),$G$12,-$G$16)</f>
        <v>#VALUE!</v>
      </c>
      <c r="G33" s="230" t="e">
        <f>PV(((1+($G$4/($G$7*100)))^($G$7/$G$6)-1),$G$12,-$G$16)</f>
        <v>#VALUE!</v>
      </c>
      <c r="H33" s="230" t="e">
        <f>PV(((1+($G$4/($G$7*100)))^($G$7/$G$6)-1),$G$12,-$G$16)</f>
        <v>#VALUE!</v>
      </c>
    </row>
    <row r="34" spans="1:8" ht="15.75">
      <c r="A34" s="167"/>
      <c r="B34" s="225" t="s">
        <v>92</v>
      </c>
      <c r="C34" s="167"/>
      <c r="D34" s="210" t="e">
        <f>-1*(NPER(((1+($G$8/($G$7*100)))^($G$7/$G$6)-1),-$H$27,,-1*$H$25))</f>
        <v>#VALUE!</v>
      </c>
      <c r="E34" s="206" t="s">
        <v>42</v>
      </c>
      <c r="F34" s="230" t="e">
        <f>PV(((1+($G$8/($G$7*100)))^($G$7/$G$6)-1),$G$12,-$F$27)</f>
        <v>#VALUE!</v>
      </c>
      <c r="G34" s="230" t="e">
        <f>PV(((1+($G$8/($G$7*100)))^($G$7/$G$6)-1),$G$12,-$G$27)</f>
        <v>#VALUE!</v>
      </c>
      <c r="H34" s="230" t="e">
        <f>PV(((1+(G8/(G7*100)))^(G7/G6)-1),D34-G11,-H27)</f>
        <v>#VALUE!</v>
      </c>
    </row>
    <row r="35" spans="1:8" ht="15.75">
      <c r="A35" s="167"/>
      <c r="B35" s="225" t="s">
        <v>93</v>
      </c>
      <c r="C35" s="167"/>
      <c r="D35" s="167"/>
      <c r="E35" s="206" t="s">
        <v>42</v>
      </c>
      <c r="F35" s="240" t="e">
        <f>F33-F34</f>
        <v>#VALUE!</v>
      </c>
      <c r="G35" s="240" t="e">
        <f>G33-G34</f>
        <v>#VALUE!</v>
      </c>
      <c r="H35" s="240" t="e">
        <f>H33-H34</f>
        <v>#VALUE!</v>
      </c>
    </row>
    <row r="36" spans="1:8" ht="15.75">
      <c r="A36" s="167"/>
      <c r="B36" s="229"/>
      <c r="C36" s="202"/>
      <c r="D36" s="202"/>
      <c r="E36" s="202"/>
      <c r="F36" s="202"/>
      <c r="G36" s="229"/>
      <c r="H36" s="229"/>
    </row>
    <row r="37" spans="1:8" ht="15.75">
      <c r="A37" s="167"/>
      <c r="B37" s="225" t="s">
        <v>94</v>
      </c>
      <c r="C37" s="167"/>
      <c r="D37" s="167"/>
      <c r="E37" s="206" t="s">
        <v>42</v>
      </c>
      <c r="F37" s="241" t="s">
        <v>95</v>
      </c>
      <c r="G37" s="242">
        <f>G9</f>
        <v>2000</v>
      </c>
      <c r="H37" s="241" t="s">
        <v>95</v>
      </c>
    </row>
    <row r="38" spans="1:8" ht="15.75">
      <c r="A38" s="167"/>
      <c r="B38" s="225" t="s">
        <v>96</v>
      </c>
      <c r="C38" s="167"/>
      <c r="D38" s="167"/>
      <c r="E38" s="206" t="s">
        <v>42</v>
      </c>
      <c r="F38" s="235" t="e">
        <f>F35+F29</f>
        <v>#VALUE!</v>
      </c>
      <c r="G38" s="235" t="e">
        <f>G35+G29-G37</f>
        <v>#VALUE!</v>
      </c>
      <c r="H38" s="235" t="e">
        <f>H35+H29</f>
        <v>#VALUE!</v>
      </c>
    </row>
    <row r="39" spans="1:8" ht="15">
      <c r="A39" s="167"/>
      <c r="B39" s="170"/>
      <c r="C39" s="202"/>
      <c r="D39" s="202"/>
      <c r="E39" s="202"/>
      <c r="F39" s="202"/>
      <c r="G39" s="202"/>
      <c r="H39" s="202"/>
    </row>
    <row r="40" spans="1:8" ht="15">
      <c r="A40" s="167"/>
      <c r="B40" s="243" t="s">
        <v>97</v>
      </c>
      <c r="C40" s="167"/>
      <c r="D40" s="167"/>
      <c r="E40" s="167"/>
      <c r="F40" s="167"/>
      <c r="G40" s="167"/>
      <c r="H40" s="167"/>
    </row>
    <row r="41" spans="1:8" ht="15">
      <c r="A41" s="167"/>
      <c r="B41" s="243" t="s">
        <v>98</v>
      </c>
      <c r="C41" s="167"/>
      <c r="D41" s="167"/>
      <c r="E41" s="167"/>
      <c r="F41" s="167"/>
      <c r="G41" s="167"/>
      <c r="H41" s="167"/>
    </row>
    <row r="42" spans="1:8" ht="15">
      <c r="A42" s="167"/>
      <c r="B42" s="243" t="s">
        <v>99</v>
      </c>
      <c r="C42" s="167"/>
      <c r="D42" s="167"/>
      <c r="E42" s="167"/>
      <c r="F42" s="167"/>
      <c r="G42" s="167"/>
      <c r="H42" s="170"/>
    </row>
  </sheetData>
  <sheetProtection/>
  <printOptions horizontalCentered="1"/>
  <pageMargins left="0.3937007874015748" right="0.3937007874015748" top="0.984251968503937" bottom="0.984251968503937" header="0.5118110236220472" footer="0.5118110236220472"/>
  <pageSetup horizontalDpi="600" verticalDpi="600" orientation="portrait" scale="125" r:id="rId3"/>
  <legacyDrawing r:id="rId2"/>
</worksheet>
</file>

<file path=xl/worksheets/sheet7.xml><?xml version="1.0" encoding="utf-8"?>
<worksheet xmlns="http://schemas.openxmlformats.org/spreadsheetml/2006/main" xmlns:r="http://schemas.openxmlformats.org/officeDocument/2006/relationships">
  <sheetPr codeName="Sheet7"/>
  <dimension ref="A1:T42"/>
  <sheetViews>
    <sheetView showGridLines="0" showRowColHeaders="0" zoomScalePageLayoutView="0" workbookViewId="0" topLeftCell="A1">
      <selection activeCell="I17" sqref="I17"/>
    </sheetView>
  </sheetViews>
  <sheetFormatPr defaultColWidth="9.140625" defaultRowHeight="12"/>
  <cols>
    <col min="1" max="1" width="5.28125" style="3" customWidth="1"/>
    <col min="2" max="2" width="4.28125" style="3" customWidth="1"/>
    <col min="3" max="3" width="25.421875" style="3" customWidth="1"/>
    <col min="4" max="4" width="13.421875" style="3" customWidth="1"/>
    <col min="5" max="5" width="3.57421875" style="3" customWidth="1"/>
    <col min="6" max="6" width="14.140625" style="3" customWidth="1"/>
    <col min="7" max="7" width="9.140625" style="3" customWidth="1"/>
    <col min="8" max="8" width="18.7109375" style="3" customWidth="1"/>
    <col min="9" max="9" width="25.00390625" style="3" customWidth="1"/>
    <col min="10" max="10" width="23.421875" style="3" customWidth="1"/>
    <col min="11" max="16384" width="9.140625" style="3" customWidth="1"/>
  </cols>
  <sheetData>
    <row r="1" ht="12">
      <c r="R1" s="21">
        <f>RATE(F7*F6,F5,-F4)</f>
        <v>0.032500000000006524</v>
      </c>
    </row>
    <row r="2" spans="2:9" ht="20.25">
      <c r="B2" s="23" t="s">
        <v>100</v>
      </c>
      <c r="D2" s="8"/>
      <c r="E2" s="8"/>
      <c r="G2" s="8"/>
      <c r="H2" s="8"/>
      <c r="I2" s="8"/>
    </row>
    <row r="3" spans="2:9" ht="12">
      <c r="B3" s="8"/>
      <c r="C3" s="8"/>
      <c r="D3" s="8"/>
      <c r="E3" s="8"/>
      <c r="G3" s="8"/>
      <c r="H3" s="8"/>
      <c r="I3" s="8"/>
    </row>
    <row r="4" spans="2:9" ht="15.75">
      <c r="B4" s="8"/>
      <c r="C4" s="221" t="s">
        <v>101</v>
      </c>
      <c r="D4" s="208"/>
      <c r="E4" s="233" t="s">
        <v>42</v>
      </c>
      <c r="F4" s="244">
        <f>Schedule!D3</f>
        <v>750000</v>
      </c>
      <c r="G4" s="54"/>
      <c r="H4" s="8"/>
      <c r="I4" s="8"/>
    </row>
    <row r="5" spans="2:9" ht="15.75">
      <c r="B5" s="8"/>
      <c r="C5" s="221" t="s">
        <v>102</v>
      </c>
      <c r="D5" s="208"/>
      <c r="E5" s="233" t="s">
        <v>42</v>
      </c>
      <c r="F5" s="244">
        <f>Schedule!F3</f>
        <v>51584.162892919696</v>
      </c>
      <c r="G5" s="54"/>
      <c r="H5" s="8"/>
      <c r="I5" s="8"/>
    </row>
    <row r="6" spans="2:9" ht="15.75">
      <c r="B6" s="8"/>
      <c r="C6" s="221" t="s">
        <v>103</v>
      </c>
      <c r="D6" s="208"/>
      <c r="E6" s="208"/>
      <c r="F6" s="245">
        <f>Schedule!D5</f>
        <v>10</v>
      </c>
      <c r="G6" s="54"/>
      <c r="H6" s="8"/>
      <c r="I6" s="9"/>
    </row>
    <row r="7" spans="2:9" ht="15.75">
      <c r="B7" s="9"/>
      <c r="C7" s="246" t="s">
        <v>104</v>
      </c>
      <c r="D7" s="247"/>
      <c r="E7" s="248"/>
      <c r="F7" s="245">
        <f>Schedule!D6</f>
        <v>2</v>
      </c>
      <c r="G7" s="54"/>
      <c r="H7" s="8"/>
      <c r="I7" s="8"/>
    </row>
    <row r="8" spans="2:20" ht="15.75">
      <c r="B8" s="9"/>
      <c r="C8" s="246" t="s">
        <v>105</v>
      </c>
      <c r="D8" s="247"/>
      <c r="E8" s="248"/>
      <c r="F8" s="249">
        <f>Schedule!D7</f>
        <v>2</v>
      </c>
      <c r="G8" s="9"/>
      <c r="H8" s="9"/>
      <c r="I8" s="9"/>
      <c r="J8" s="10"/>
      <c r="K8" s="10"/>
      <c r="L8" s="10"/>
      <c r="M8" s="10"/>
      <c r="N8" s="10"/>
      <c r="O8" s="10"/>
      <c r="P8" s="10"/>
      <c r="Q8" s="10"/>
      <c r="R8" s="10"/>
      <c r="S8" s="10"/>
      <c r="T8" s="10"/>
    </row>
    <row r="9" spans="2:10" ht="15">
      <c r="B9" s="4">
        <f>IF(F7&lt;1,"   Warning: Number of payments is less than 1 per year, check input.",IF(F6&lt;1,"  Warning: Length is less than one year, check input.",IF(F8&lt;1,"   Warning: Compounds per year is less than 1, check input.","")))</f>
      </c>
      <c r="C9" s="190"/>
      <c r="D9" s="190"/>
      <c r="E9" s="250"/>
      <c r="F9" s="190"/>
      <c r="G9" s="11"/>
      <c r="H9" s="11"/>
      <c r="I9" s="9"/>
      <c r="J9" s="10"/>
    </row>
    <row r="10" spans="3:8" ht="15.75">
      <c r="C10" s="225" t="s">
        <v>106</v>
      </c>
      <c r="D10" s="208"/>
      <c r="E10" s="247"/>
      <c r="F10" s="251">
        <f>IF(F5*F6*F7=F4,0,IF(F5*F6*F7&lt;F4,"PAYMENT SHOWN",((((1+R1)^F7)^(1/F8))-1)*F8))</f>
        <v>0.06500000000001283</v>
      </c>
      <c r="H10" s="53"/>
    </row>
    <row r="11" spans="2:8" ht="15.75">
      <c r="B11" s="8"/>
      <c r="C11" s="167"/>
      <c r="D11" s="208"/>
      <c r="E11" s="247"/>
      <c r="F11" s="252">
        <f>IF(F10="PAYMENT SHOWN","CAN NOT","")</f>
      </c>
      <c r="G11" s="9"/>
      <c r="H11" s="8"/>
    </row>
    <row r="12" spans="3:8" ht="15.75">
      <c r="C12" s="225" t="s">
        <v>107</v>
      </c>
      <c r="D12" s="208"/>
      <c r="E12" s="253"/>
      <c r="F12" s="254">
        <f>IF(F10=0,0,IF(F10="PAYMENT SHOWN","PAY OFF LOAN",(1+R1)^F7-1))</f>
        <v>0.06605625000001325</v>
      </c>
      <c r="G12" s="9"/>
      <c r="H12" s="8"/>
    </row>
    <row r="13" spans="2:8" ht="15.75">
      <c r="B13" s="12"/>
      <c r="C13" s="208"/>
      <c r="D13" s="208"/>
      <c r="E13" s="255"/>
      <c r="F13" s="252">
        <f>IF(F10="PAYMENT SHOWN","WITH OTHER","")</f>
      </c>
      <c r="G13" s="9"/>
      <c r="H13" s="8"/>
    </row>
    <row r="14" spans="2:8" ht="15.75">
      <c r="B14" s="8"/>
      <c r="C14" s="208"/>
      <c r="D14" s="208"/>
      <c r="E14" s="256"/>
      <c r="F14" s="254">
        <f>IF(F10="PAYMENT SHOWN","TERMS  SHOWN","")</f>
      </c>
      <c r="G14" s="9"/>
      <c r="H14" s="13"/>
    </row>
    <row r="15" spans="2:8" ht="15">
      <c r="B15" s="12"/>
      <c r="C15" s="208"/>
      <c r="D15" s="208"/>
      <c r="E15" s="208"/>
      <c r="F15" s="247"/>
      <c r="G15" s="8"/>
      <c r="H15" s="8"/>
    </row>
    <row r="16" spans="2:8" ht="15">
      <c r="B16" s="12"/>
      <c r="C16" s="167"/>
      <c r="D16" s="167"/>
      <c r="E16" s="167"/>
      <c r="F16" s="167"/>
      <c r="H16" s="10"/>
    </row>
    <row r="17" spans="2:6" ht="15">
      <c r="B17" s="12"/>
      <c r="C17" s="167"/>
      <c r="D17" s="167"/>
      <c r="E17" s="167"/>
      <c r="F17" s="167"/>
    </row>
    <row r="18" spans="1:10" ht="15">
      <c r="A18" s="257" t="s">
        <v>202</v>
      </c>
      <c r="B18" s="12"/>
      <c r="C18" s="167"/>
      <c r="D18" s="167"/>
      <c r="E18" s="167"/>
      <c r="F18" s="167"/>
      <c r="J18" s="14"/>
    </row>
    <row r="19" spans="2:10" ht="12">
      <c r="B19" s="5"/>
      <c r="C19" s="5"/>
      <c r="D19" s="5"/>
      <c r="E19" s="5"/>
      <c r="F19" s="5"/>
      <c r="G19" s="5"/>
      <c r="H19" s="12"/>
      <c r="I19" s="55"/>
      <c r="J19" s="14"/>
    </row>
    <row r="20" ht="12">
      <c r="I20" s="15"/>
    </row>
    <row r="22" spans="4:9" ht="12">
      <c r="D22" s="64"/>
      <c r="F22" s="65"/>
      <c r="I22" s="16"/>
    </row>
    <row r="24" spans="4:6" ht="12">
      <c r="D24" s="17"/>
      <c r="F24" s="17"/>
    </row>
    <row r="26" ht="12">
      <c r="D26" s="17"/>
    </row>
    <row r="28" ht="12">
      <c r="D28" s="17"/>
    </row>
    <row r="30" spans="4:7" ht="12">
      <c r="D30" s="17"/>
      <c r="G30" s="18"/>
    </row>
    <row r="38" ht="12">
      <c r="G38" s="19"/>
    </row>
    <row r="41" ht="12">
      <c r="G41" s="19"/>
    </row>
    <row r="42" ht="12">
      <c r="G42" s="19"/>
    </row>
  </sheetData>
  <sheetProtection/>
  <printOptions horizontalCentered="1"/>
  <pageMargins left="0.3937007874015748" right="0.3937007874015748" top="0.984251968503937" bottom="0.984251968503937" header="0.5118110236220472" footer="0.5118110236220472"/>
  <pageSetup horizontalDpi="600" verticalDpi="600" orientation="portrait" scale="125" r:id="rId3"/>
  <legacyDrawing r:id="rId2"/>
</worksheet>
</file>

<file path=xl/worksheets/sheet8.xml><?xml version="1.0" encoding="utf-8"?>
<worksheet xmlns="http://schemas.openxmlformats.org/spreadsheetml/2006/main" xmlns:r="http://schemas.openxmlformats.org/officeDocument/2006/relationships">
  <sheetPr codeName="Sheet8"/>
  <dimension ref="A1:S21"/>
  <sheetViews>
    <sheetView zoomScalePageLayoutView="0" workbookViewId="0" topLeftCell="A1">
      <selection activeCell="J10" sqref="J10"/>
    </sheetView>
  </sheetViews>
  <sheetFormatPr defaultColWidth="9.140625" defaultRowHeight="12"/>
  <cols>
    <col min="1" max="1" width="2.28125" style="3" customWidth="1"/>
    <col min="2" max="2" width="17.8515625" style="3" customWidth="1"/>
    <col min="3" max="5" width="9.140625" style="3" customWidth="1"/>
    <col min="6" max="6" width="13.7109375" style="3" customWidth="1"/>
    <col min="7" max="8" width="14.28125" style="3" customWidth="1"/>
    <col min="9" max="9" width="7.7109375" style="3" customWidth="1"/>
    <col min="10" max="16384" width="9.140625" style="3" customWidth="1"/>
  </cols>
  <sheetData>
    <row r="1" ht="12">
      <c r="R1" s="26"/>
    </row>
    <row r="2" ht="18">
      <c r="B2" s="22" t="s">
        <v>108</v>
      </c>
    </row>
    <row r="3" ht="12"/>
    <row r="4" spans="2:9" ht="15.75">
      <c r="B4" s="221" t="s">
        <v>109</v>
      </c>
      <c r="C4" s="167"/>
      <c r="D4" s="167"/>
      <c r="E4" s="167"/>
      <c r="F4" s="206" t="s">
        <v>42</v>
      </c>
      <c r="G4" s="244">
        <f>Schedule!D3</f>
        <v>750000</v>
      </c>
      <c r="H4" s="167"/>
      <c r="I4" s="167"/>
    </row>
    <row r="5" spans="2:9" ht="15.75">
      <c r="B5" s="221" t="s">
        <v>110</v>
      </c>
      <c r="C5" s="167"/>
      <c r="D5" s="167"/>
      <c r="E5" s="167"/>
      <c r="F5" s="206" t="s">
        <v>44</v>
      </c>
      <c r="G5" s="258">
        <f>Schedule!D4</f>
        <v>6.5</v>
      </c>
      <c r="H5" s="167"/>
      <c r="I5" s="167"/>
    </row>
    <row r="6" spans="2:9" ht="15.75">
      <c r="B6" s="221" t="s">
        <v>111</v>
      </c>
      <c r="C6" s="167"/>
      <c r="D6" s="167"/>
      <c r="E6" s="167"/>
      <c r="F6" s="167"/>
      <c r="G6" s="245">
        <f>Schedule!D6</f>
        <v>2</v>
      </c>
      <c r="H6" s="167"/>
      <c r="I6" s="167"/>
    </row>
    <row r="7" spans="2:9" ht="15.75">
      <c r="B7" s="221" t="s">
        <v>112</v>
      </c>
      <c r="C7" s="167"/>
      <c r="D7" s="167"/>
      <c r="E7" s="167"/>
      <c r="F7" s="167"/>
      <c r="G7" s="245">
        <f>Schedule!D7</f>
        <v>2</v>
      </c>
      <c r="H7" s="167"/>
      <c r="I7" s="167"/>
    </row>
    <row r="8" spans="2:19" ht="15.75">
      <c r="B8" s="209">
        <f>IF(G6&lt;1,"   Warning: Number of payments is less than 1 per year, check input.",IF(G7&lt;1,"   Warning: compounds per year is less than 1, check input.",IF(G5&lt;0,"     Warning:   Interest rate is less than 0",IF(G4&lt;0,"   Warning: Loan amount must be a positive number",""))))</f>
      </c>
      <c r="C8" s="202"/>
      <c r="D8" s="202"/>
      <c r="E8" s="202"/>
      <c r="F8" s="202"/>
      <c r="G8" s="202"/>
      <c r="H8" s="202"/>
      <c r="I8" s="167"/>
      <c r="S8" s="25"/>
    </row>
    <row r="9" spans="2:9" ht="15.75">
      <c r="B9" s="223" t="s">
        <v>113</v>
      </c>
      <c r="C9" s="167"/>
      <c r="D9" s="167"/>
      <c r="E9" s="167"/>
      <c r="F9" s="167"/>
      <c r="G9" s="259">
        <f>G4*((1+(G5/(G7*100)))^(G7/G6)-1)+0.005</f>
        <v>24375.004999999983</v>
      </c>
      <c r="H9" s="167"/>
      <c r="I9" s="167"/>
    </row>
    <row r="10" spans="2:9" ht="15">
      <c r="B10" s="243"/>
      <c r="C10" s="202"/>
      <c r="D10" s="202"/>
      <c r="E10" s="202"/>
      <c r="F10" s="202"/>
      <c r="G10" s="202"/>
      <c r="H10" s="202"/>
      <c r="I10" s="167"/>
    </row>
    <row r="11" spans="2:9" ht="15">
      <c r="B11" s="167"/>
      <c r="C11" s="167"/>
      <c r="D11" s="167"/>
      <c r="E11" s="167"/>
      <c r="F11" s="233" t="s">
        <v>114</v>
      </c>
      <c r="G11" s="233" t="s">
        <v>115</v>
      </c>
      <c r="H11" s="233" t="s">
        <v>116</v>
      </c>
      <c r="I11" s="167"/>
    </row>
    <row r="12" spans="2:9" ht="15.75">
      <c r="B12" s="221" t="s">
        <v>117</v>
      </c>
      <c r="C12" s="167"/>
      <c r="D12" s="167"/>
      <c r="E12" s="211" t="s">
        <v>42</v>
      </c>
      <c r="F12" s="244">
        <v>825</v>
      </c>
      <c r="G12" s="244">
        <v>900</v>
      </c>
      <c r="H12" s="260">
        <v>1000</v>
      </c>
      <c r="I12" s="167"/>
    </row>
    <row r="13" spans="2:9" ht="15.75">
      <c r="B13" s="261">
        <f>IF(OR(OR(OR(G4&lt;0,G5&lt;0),G6&lt;1),G7&lt;1),1,0)</f>
        <v>0</v>
      </c>
      <c r="C13" s="167"/>
      <c r="D13" s="167"/>
      <c r="E13" s="167"/>
      <c r="F13" s="229"/>
      <c r="G13" s="229"/>
      <c r="H13" s="229"/>
      <c r="I13" s="167"/>
    </row>
    <row r="14" spans="2:9" ht="15.75">
      <c r="B14" s="223" t="s">
        <v>118</v>
      </c>
      <c r="C14" s="167"/>
      <c r="D14" s="167"/>
      <c r="E14" s="167"/>
      <c r="F14" s="216" t="str">
        <f>IF($B$13=1,#VALUE!,IF(F12&gt;=$G$9-0.01,-1*NPER(((1+($G$5/($G$7*100)))^($G$7/$G$6)-1),-F12,,-1*$G$4),"PAYMENT"))</f>
        <v>PAYMENT</v>
      </c>
      <c r="G14" s="216" t="str">
        <f>IF($B$13=1,#VALUE!,IF(G12&gt;=$G$9-0.01,-1*NPER(((1+($G$5/($G$7*100)))^($G$7/$G$6)-1),-G12,,-1*$G$4),"PAYMENT"))</f>
        <v>PAYMENT</v>
      </c>
      <c r="H14" s="216" t="str">
        <f>IF($B$13=1,#VALUE!,IF(H12&gt;=$G$9-0.01,-1*NPER(((1+($G$5/($G$7*100)))^($G$7/$G$6)-1),-H12,,-1*$G$4),"PAYMENT"))</f>
        <v>PAYMENT</v>
      </c>
      <c r="I14" s="167"/>
    </row>
    <row r="15" spans="2:9" ht="15.75">
      <c r="B15" s="223" t="s">
        <v>119</v>
      </c>
      <c r="C15" s="167"/>
      <c r="D15" s="167"/>
      <c r="E15" s="167"/>
      <c r="F15" s="216" t="str">
        <f>IF(F12&gt;=$G$9-0.01,F14/$G$6,"TOO LOW")</f>
        <v>TOO LOW</v>
      </c>
      <c r="G15" s="216" t="str">
        <f>IF(G12&gt;=$G$9-0.01,G14/$G$6,"TOO LOW")</f>
        <v>TOO LOW</v>
      </c>
      <c r="H15" s="216" t="str">
        <f>IF(H12&gt;=$G$9-0.01,H14/$G$6,"TOO LOW")</f>
        <v>TOO LOW</v>
      </c>
      <c r="I15" s="167"/>
    </row>
    <row r="16" spans="2:9" ht="15.75">
      <c r="B16" s="167"/>
      <c r="C16" s="167"/>
      <c r="D16" s="167"/>
      <c r="E16" s="167"/>
      <c r="F16" s="204"/>
      <c r="G16" s="204"/>
      <c r="H16" s="204"/>
      <c r="I16" s="167"/>
    </row>
    <row r="17" spans="2:9" ht="15.75">
      <c r="B17" s="225" t="s">
        <v>120</v>
      </c>
      <c r="C17" s="167"/>
      <c r="D17" s="167"/>
      <c r="E17" s="211" t="s">
        <v>42</v>
      </c>
      <c r="F17" s="262">
        <f>IF(F14="PAYMENT","",+F12*F14)</f>
      </c>
      <c r="G17" s="262">
        <f>IF(G14="PAYMENT","",+G12*G14)</f>
      </c>
      <c r="H17" s="262">
        <f>IF(H14="PAYMENT","",+H12*H14)</f>
      </c>
      <c r="I17" s="167"/>
    </row>
    <row r="18" spans="2:9" ht="12">
      <c r="B18" s="2"/>
      <c r="G18" s="12"/>
      <c r="H18" s="12"/>
      <c r="I18" s="12"/>
    </row>
    <row r="19" ht="12">
      <c r="B19" s="6"/>
    </row>
    <row r="20" spans="2:3" ht="12">
      <c r="B20" s="2"/>
      <c r="C20" s="12"/>
    </row>
    <row r="21" ht="15">
      <c r="A21" s="257" t="s">
        <v>203</v>
      </c>
    </row>
  </sheetData>
  <sheetProtection/>
  <printOptions horizontalCentered="1"/>
  <pageMargins left="0.3937007874015748" right="0.3937007874015748" top="0.984251968503937" bottom="0.984251968503937" header="0.5118110236220472" footer="0.5118110236220472"/>
  <pageSetup horizontalDpi="600" verticalDpi="600" orientation="portrait" scale="125" r:id="rId3"/>
  <legacyDrawing r:id="rId2"/>
</worksheet>
</file>

<file path=xl/worksheets/sheet9.xml><?xml version="1.0" encoding="utf-8"?>
<worksheet xmlns="http://schemas.openxmlformats.org/spreadsheetml/2006/main" xmlns:r="http://schemas.openxmlformats.org/officeDocument/2006/relationships">
  <sheetPr codeName="Sheet9"/>
  <dimension ref="B1:S21"/>
  <sheetViews>
    <sheetView zoomScalePageLayoutView="0" workbookViewId="0" topLeftCell="A1">
      <selection activeCell="J9" sqref="J9"/>
    </sheetView>
  </sheetViews>
  <sheetFormatPr defaultColWidth="9.140625" defaultRowHeight="12"/>
  <cols>
    <col min="1" max="1" width="3.7109375" style="10" customWidth="1"/>
    <col min="2" max="2" width="29.00390625" style="10" customWidth="1"/>
    <col min="3" max="3" width="12.57421875" style="10" customWidth="1"/>
    <col min="4" max="6" width="9.140625" style="10" customWidth="1"/>
    <col min="7" max="7" width="14.00390625" style="10" customWidth="1"/>
    <col min="8" max="8" width="16.57421875" style="10" customWidth="1"/>
    <col min="9" max="16384" width="9.140625" style="10" customWidth="1"/>
  </cols>
  <sheetData>
    <row r="1" spans="6:18" ht="12">
      <c r="F1" s="9"/>
      <c r="R1" s="31">
        <f>IF(OR(OR(OR(OR(G4&lt;0,G5&lt;1),G6&lt;0),G7&lt;1),G8&lt;1),1,0)</f>
        <v>0</v>
      </c>
    </row>
    <row r="2" spans="2:6" ht="19.5" customHeight="1">
      <c r="B2" s="32" t="s">
        <v>121</v>
      </c>
      <c r="C2" s="3"/>
      <c r="F2" s="9"/>
    </row>
    <row r="3" spans="2:8" ht="12" customHeight="1">
      <c r="B3" s="183"/>
      <c r="C3" s="183"/>
      <c r="D3" s="183"/>
      <c r="E3" s="183"/>
      <c r="F3" s="247"/>
      <c r="G3" s="183"/>
      <c r="H3" s="183"/>
    </row>
    <row r="4" spans="2:8" ht="15.75">
      <c r="B4" s="246" t="s">
        <v>122</v>
      </c>
      <c r="C4" s="183"/>
      <c r="D4" s="183"/>
      <c r="E4" s="183"/>
      <c r="F4" s="263" t="s">
        <v>42</v>
      </c>
      <c r="G4" s="264">
        <f>Schedule!F3</f>
        <v>51584.162892919696</v>
      </c>
      <c r="H4" s="183"/>
    </row>
    <row r="5" spans="2:8" ht="15.75">
      <c r="B5" s="246" t="s">
        <v>123</v>
      </c>
      <c r="C5" s="183"/>
      <c r="D5" s="183"/>
      <c r="E5" s="183"/>
      <c r="F5" s="247"/>
      <c r="G5" s="265">
        <f>Schedule!D6</f>
        <v>2</v>
      </c>
      <c r="H5" s="183"/>
    </row>
    <row r="6" spans="2:8" ht="15.75">
      <c r="B6" s="246" t="s">
        <v>124</v>
      </c>
      <c r="C6" s="183"/>
      <c r="D6" s="183"/>
      <c r="E6" s="183"/>
      <c r="F6" s="247"/>
      <c r="G6" s="265">
        <f>Schedule!D4</f>
        <v>6.5</v>
      </c>
      <c r="H6" s="183"/>
    </row>
    <row r="7" spans="2:8" ht="12.75" customHeight="1">
      <c r="B7" s="246" t="s">
        <v>125</v>
      </c>
      <c r="C7" s="183"/>
      <c r="D7" s="183"/>
      <c r="E7" s="183"/>
      <c r="F7" s="247"/>
      <c r="G7" s="265">
        <f>Schedule!D5</f>
        <v>10</v>
      </c>
      <c r="H7" s="183"/>
    </row>
    <row r="8" spans="2:8" ht="12.75" customHeight="1">
      <c r="B8" s="246" t="s">
        <v>47</v>
      </c>
      <c r="C8" s="183"/>
      <c r="D8" s="183"/>
      <c r="E8" s="183"/>
      <c r="F8" s="247"/>
      <c r="G8" s="265">
        <f>Schedule!D7</f>
        <v>2</v>
      </c>
      <c r="H8" s="183"/>
    </row>
    <row r="9" spans="2:8" ht="15" customHeight="1">
      <c r="B9" s="266">
        <f>IF(G5&lt;1,"   Warning: Number of payments is less than 1 per year, check input.",IF(G7&lt;1,"  Warning: Length is less than one year, check input.",IF(G8&lt;1,"   Warning: compounds per year is less than 1, check input.",IF(G4&lt;0,"WARNING:  AMOUNT OF LOAN IS LESS THAN 0",IF(G6&lt;0,"WARNING:  THE INTEREST RATE CAN NOT BE LESS THAN 0","")))))</f>
      </c>
      <c r="C9" s="183"/>
      <c r="D9" s="183"/>
      <c r="E9" s="247"/>
      <c r="F9" s="247"/>
      <c r="G9" s="183"/>
      <c r="H9" s="183"/>
    </row>
    <row r="10" spans="2:19" ht="15" customHeight="1">
      <c r="B10" s="267" t="s">
        <v>126</v>
      </c>
      <c r="C10" s="183"/>
      <c r="D10" s="183"/>
      <c r="E10" s="247"/>
      <c r="F10" s="268"/>
      <c r="G10" s="269">
        <f>IF(R1=1,#VALUE!,IF($G$6&gt;0,PV(((1+($G$6/($G$8*100)))^($G$8/$G$5)-1),$G$7*$G$5,-$G$4),$G$4*$G$5*$G$7))</f>
        <v>750000</v>
      </c>
      <c r="H10" s="183"/>
      <c r="S10" s="3"/>
    </row>
    <row r="11" spans="2:8" ht="15">
      <c r="B11" s="167"/>
      <c r="C11" s="190"/>
      <c r="D11" s="190"/>
      <c r="E11" s="190"/>
      <c r="F11" s="190"/>
      <c r="G11" s="190"/>
      <c r="H11" s="270"/>
    </row>
    <row r="12" spans="2:8" ht="15.75">
      <c r="B12" s="247" t="str">
        <f>"  If interest rates were "&amp;FIXED(G6+1,2,TRUE)&amp;" % for "&amp;FIXED(G7,0,TRUE)&amp;" years, maximum is "</f>
        <v>  If interest rates were 7.50 % for 10 years, maximum is </v>
      </c>
      <c r="C12" s="271"/>
      <c r="D12" s="271"/>
      <c r="E12" s="271"/>
      <c r="F12" s="272"/>
      <c r="G12" s="273" t="s">
        <v>42</v>
      </c>
      <c r="H12" s="274">
        <f>IF(R1=1,#VALUE!,IF($G$6+1&gt;0,PV(((1+(($G$6+1)/($G$8*100)))^($G$8/$G$5)-1),$G$7*$G$5,-$G$4),$G$4*$G$5*$G$7))</f>
        <v>716824.0616552217</v>
      </c>
    </row>
    <row r="13" spans="2:8" ht="15.75">
      <c r="B13" s="247" t="str">
        <f>IF(G6-1&gt;0,+"  If interest rates were "&amp;FIXED(G6-1,2,TRUE)&amp;" % for "&amp;FIXED(G7,0,TRUE)&amp;" years, maximum is ","  IF INTEREST RATES WERE 0 %, YOU COULD BORROW UP TO ")</f>
        <v>  If interest rates were 5.50 % for 10 years, maximum is </v>
      </c>
      <c r="C13" s="271"/>
      <c r="D13" s="275"/>
      <c r="E13" s="271"/>
      <c r="F13" s="272"/>
      <c r="G13" s="273" t="s">
        <v>42</v>
      </c>
      <c r="H13" s="274">
        <f>IF(R1=1,#VALUE!,IF($G$6-1&gt;0,PV(((1+(($G$6-1)/($G$8*100)))^($G$8/$G$5)-1),$G$7*$G$5,-$G$4),$G$4*$G$5*$G$7))</f>
        <v>785485.0544802382</v>
      </c>
    </row>
    <row r="14" spans="2:8" ht="15.75">
      <c r="B14" s="247" t="str">
        <f>IF(G7-5&gt;0,+"  If length was "&amp;FIXED(G7-5,0,TRUE)&amp;" years, at "&amp;FIXED(G6,2,TRUE)&amp;" %, you could borrow to  ","  ")</f>
        <v>  If length was 5 years, at 6.50 %, you could borrow to  </v>
      </c>
      <c r="C14" s="183"/>
      <c r="D14" s="247"/>
      <c r="E14" s="247"/>
      <c r="F14" s="247"/>
      <c r="G14" s="273" t="s">
        <v>42</v>
      </c>
      <c r="H14" s="274">
        <f>IF(R1=1,#VALUE!,IF($G$7-5&gt;0,IF($G$6&gt;0,PV(((1+(($G$6)/($G$8*100)))^($G$8/$G$5)-1),($G$7-5)*$G$5,-$G$4),$G$4*$G$5*($G$7-5)),"  "))</f>
        <v>434462.1997783821</v>
      </c>
    </row>
    <row r="15" spans="2:8" ht="15.75">
      <c r="B15" s="247" t="str">
        <f>"  If length was "&amp;FIXED(G7+5,0,TRUE)&amp;" years, at "&amp;FIXED(G6,2,TRUE)&amp;" %, you could borrow to  "</f>
        <v>  If length was 15 years, at 6.50 %, you could borrow to  </v>
      </c>
      <c r="C15" s="271"/>
      <c r="D15" s="271"/>
      <c r="E15" s="271"/>
      <c r="F15" s="271"/>
      <c r="G15" s="273" t="s">
        <v>42</v>
      </c>
      <c r="H15" s="274">
        <f>IF(R1=1,#VALUE!,IF($G$6&gt;0,PV(((1+(($G$6)/($G$8*100)))^($G$8/$G$5)-1),($G$7+5)*$G$5,-$G$4),$G$4*$G$5*($G$7+5)))</f>
        <v>979166.3196924493</v>
      </c>
    </row>
    <row r="16" spans="2:8" ht="15.75">
      <c r="B16" s="247"/>
      <c r="C16" s="271"/>
      <c r="D16" s="271"/>
      <c r="E16" s="271"/>
      <c r="F16" s="271"/>
      <c r="G16" s="273"/>
      <c r="H16" s="276"/>
    </row>
    <row r="17" spans="2:8" ht="15.75">
      <c r="B17" s="247"/>
      <c r="C17" s="271"/>
      <c r="D17" s="271"/>
      <c r="E17" s="271"/>
      <c r="F17" s="271"/>
      <c r="G17" s="273"/>
      <c r="H17" s="276"/>
    </row>
    <row r="18" spans="2:8" ht="15">
      <c r="B18" s="192"/>
      <c r="C18" s="190"/>
      <c r="D18" s="190"/>
      <c r="E18" s="190"/>
      <c r="F18" s="190"/>
      <c r="G18" s="190"/>
      <c r="H18" s="190"/>
    </row>
    <row r="19" spans="2:8" ht="15">
      <c r="B19" s="246" t="s">
        <v>127</v>
      </c>
      <c r="C19" s="183"/>
      <c r="D19" s="183"/>
      <c r="E19" s="247"/>
      <c r="F19" s="183"/>
      <c r="G19" s="183"/>
      <c r="H19" s="183"/>
    </row>
    <row r="20" spans="2:8" ht="15">
      <c r="B20" s="246" t="s">
        <v>128</v>
      </c>
      <c r="C20" s="183"/>
      <c r="D20" s="183"/>
      <c r="E20" s="247"/>
      <c r="F20" s="183"/>
      <c r="G20" s="183"/>
      <c r="H20" s="183"/>
    </row>
    <row r="21" spans="2:9" ht="15">
      <c r="B21" s="192"/>
      <c r="C21" s="190"/>
      <c r="D21" s="190"/>
      <c r="E21" s="190"/>
      <c r="F21" s="190"/>
      <c r="G21" s="190"/>
      <c r="H21" s="183"/>
      <c r="I21" s="57"/>
    </row>
  </sheetData>
  <sheetProtection/>
  <printOptions horizontalCentered="1"/>
  <pageMargins left="0.1968503937007874" right="0.1968503937007874" top="0.984251968503937" bottom="0.984251968503937" header="0.5118110236220472" footer="0.5118110236220472"/>
  <pageSetup horizontalDpi="600" verticalDpi="600" orientation="portrait" scale="1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blang</dc:creator>
  <cp:keywords/>
  <dc:description>Loan calc 2.01
revised for XP compatibility</dc:description>
  <cp:lastModifiedBy>Bauman, Jamie (OMAFRA)</cp:lastModifiedBy>
  <cp:lastPrinted>2013-08-13T15:36:27Z</cp:lastPrinted>
  <dcterms:created xsi:type="dcterms:W3CDTF">1997-01-19T19:37:41Z</dcterms:created>
  <dcterms:modified xsi:type="dcterms:W3CDTF">2015-12-03T15:09:06Z</dcterms:modified>
  <cp:category/>
  <cp:version/>
  <cp:contentType/>
  <cp:contentStatus/>
</cp:coreProperties>
</file>