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0080" windowHeight="4980" activeTab="0"/>
  </bookViews>
  <sheets>
    <sheet name="Menu" sheetId="1" r:id="rId1"/>
    <sheet name="Land Value" sheetId="2" r:id="rId2"/>
    <sheet name="Afford" sheetId="3" r:id="rId3"/>
    <sheet name="Sask" sheetId="4" r:id="rId4"/>
    <sheet name="KSU" sheetId="5" r:id="rId5"/>
    <sheet name="Blank" sheetId="6" r:id="rId6"/>
  </sheets>
  <definedNames>
    <definedName name="_xlnm.Print_Area" localSheetId="2">'Afford'!$A$1:$D$42</definedName>
    <definedName name="_xlnm.Print_Area" localSheetId="5">'Blank'!$A$1:$E$36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A85" authorId="0">
      <text>
        <r>
          <rPr>
            <sz val="8"/>
            <rFont val="Tahoma"/>
            <family val="2"/>
          </rPr>
          <t xml:space="preserve">Mortgages in Canada are normally compounded 2 times per year. Many other types of loans such as equipment and demand loans are compounded monthly. 
This program requires that a minimum of one compounding period per year be used.
</t>
        </r>
      </text>
    </comment>
    <comment ref="A11" authorId="0">
      <text>
        <r>
          <rPr>
            <sz val="8"/>
            <rFont val="Tahoma"/>
            <family val="2"/>
          </rPr>
          <t xml:space="preserve">Mortgages in Canada are normally compounded 2 times per year. Many other types of loans such as equipment and demand loans are compounded monthly. 
This program requires that a minimum of one compounding period per year be used.
</t>
        </r>
      </text>
    </comment>
  </commentList>
</comments>
</file>

<file path=xl/sharedStrings.xml><?xml version="1.0" encoding="utf-8"?>
<sst xmlns="http://schemas.openxmlformats.org/spreadsheetml/2006/main" count="295" uniqueCount="230">
  <si>
    <t>Net cash Flow per year</t>
  </si>
  <si>
    <t>Current selling price</t>
  </si>
  <si>
    <t>Annual increase in land</t>
  </si>
  <si>
    <t>Marginal Tax rate</t>
  </si>
  <si>
    <t>Discount rate</t>
  </si>
  <si>
    <t>Length of investment</t>
  </si>
  <si>
    <t>Capital gains %</t>
  </si>
  <si>
    <t>Capital gains Tax rate</t>
  </si>
  <si>
    <t>Future value minus the purchase price</t>
  </si>
  <si>
    <t>Present value of those future gains</t>
  </si>
  <si>
    <t>Land Purchase Worksheet</t>
  </si>
  <si>
    <t>Tax Rates</t>
  </si>
  <si>
    <t xml:space="preserve">Future value of land </t>
  </si>
  <si>
    <t>Productive Value of Land (Capitalization Method)</t>
  </si>
  <si>
    <t>Economic Value (accounts for Capital Gain)</t>
  </si>
  <si>
    <t>Alternative Methods to Calculation</t>
  </si>
  <si>
    <t>Finance and Business Structures, Program Lead</t>
  </si>
  <si>
    <t>OMAFRA</t>
  </si>
  <si>
    <t>1-888-466-2372 ext 64350  or 1-519-826-4350</t>
  </si>
  <si>
    <r>
      <t xml:space="preserve">Future value of land discounted back to present value </t>
    </r>
    <r>
      <rPr>
        <b/>
        <sz val="12"/>
        <rFont val="Arial"/>
        <family val="2"/>
      </rPr>
      <t xml:space="preserve">   (B)</t>
    </r>
  </si>
  <si>
    <r>
      <t xml:space="preserve">Capital gains tax                                                        </t>
    </r>
    <r>
      <rPr>
        <b/>
        <sz val="12"/>
        <rFont val="Arial"/>
        <family val="2"/>
      </rPr>
      <t xml:space="preserve"> (C)</t>
    </r>
  </si>
  <si>
    <r>
      <t xml:space="preserve">Present Value of net cash flow                                     </t>
    </r>
    <r>
      <rPr>
        <b/>
        <sz val="12"/>
        <rFont val="Arial"/>
        <family val="2"/>
      </rPr>
      <t>(A)</t>
    </r>
  </si>
  <si>
    <t xml:space="preserve">    COMPARING INITIAL RATES</t>
  </si>
  <si>
    <t>Current Loans</t>
  </si>
  <si>
    <t>Revised:  Nov 88</t>
  </si>
  <si>
    <t xml:space="preserve">LOAN A </t>
  </si>
  <si>
    <t>LOAN B</t>
  </si>
  <si>
    <t>LOAN C</t>
  </si>
  <si>
    <t>Current Liabilities</t>
  </si>
  <si>
    <t>Amount</t>
  </si>
  <si>
    <t xml:space="preserve">    Months</t>
  </si>
  <si>
    <t xml:space="preserve"> Interest</t>
  </si>
  <si>
    <t xml:space="preserve">  Loan Amount ($)</t>
  </si>
  <si>
    <t>(Less Than One Year)</t>
  </si>
  <si>
    <t xml:space="preserve">Owed </t>
  </si>
  <si>
    <t xml:space="preserve">  Outstanding</t>
  </si>
  <si>
    <t>Owing</t>
  </si>
  <si>
    <t xml:space="preserve">  Annual Interest Rate (%)</t>
  </si>
  <si>
    <t>Operating Loans</t>
  </si>
  <si>
    <t xml:space="preserve">  Amortized Length of Loan (Years)</t>
  </si>
  <si>
    <t xml:space="preserve">  Number of Payments Per Year</t>
  </si>
  <si>
    <t>Compounding Periods per Year</t>
  </si>
  <si>
    <t/>
  </si>
  <si>
    <t>Supplier Credit</t>
  </si>
  <si>
    <t xml:space="preserve">  PAYMENT</t>
  </si>
  <si>
    <t xml:space="preserve">  TOTAL INTEREST</t>
  </si>
  <si>
    <t xml:space="preserve">  PAYMENT SAVING (LOSS) VS. "A"</t>
  </si>
  <si>
    <t xml:space="preserve">  TOTAL INTEREST SAVING (LOSS) VS. "A"</t>
  </si>
  <si>
    <t xml:space="preserve">Sub Total </t>
  </si>
  <si>
    <t>Long Term Liabilities</t>
  </si>
  <si>
    <t>(Greater Than One Year)</t>
  </si>
  <si>
    <t xml:space="preserve">     Ave. Balance</t>
  </si>
  <si>
    <t>Principal</t>
  </si>
  <si>
    <t xml:space="preserve">Interest </t>
  </si>
  <si>
    <t xml:space="preserve">Total </t>
  </si>
  <si>
    <t>Payments</t>
  </si>
  <si>
    <t>Payment</t>
  </si>
  <si>
    <t xml:space="preserve">Mortgages </t>
  </si>
  <si>
    <t>Term Loans</t>
  </si>
  <si>
    <t>CASH INFLOW:</t>
  </si>
  <si>
    <t>Other Financing</t>
  </si>
  <si>
    <t>Other regular income (including spouse income)</t>
  </si>
  <si>
    <t xml:space="preserve">Total cash inflow         </t>
  </si>
  <si>
    <t>CASH OUTFLOW:</t>
  </si>
  <si>
    <t>Sub Total</t>
  </si>
  <si>
    <t>Annual principal and interest payments on existing debt</t>
  </si>
  <si>
    <t xml:space="preserve">Replacement fund for equipment 10%    </t>
  </si>
  <si>
    <t xml:space="preserve">Replacement fund for buildings 5%    </t>
  </si>
  <si>
    <t xml:space="preserve">Family living expenses        </t>
  </si>
  <si>
    <t xml:space="preserve">Annual income tax payable     </t>
  </si>
  <si>
    <t xml:space="preserve">Total Cash Outflow                                     </t>
  </si>
  <si>
    <t>Dollar amount available for land purchase(A) + (I)</t>
  </si>
  <si>
    <t xml:space="preserve">SHOULD I BUY MORE LAND </t>
  </si>
  <si>
    <t>adapted from a KSU Extension Publication</t>
  </si>
  <si>
    <t>NET RETURN/ACRE based on 100% financing</t>
  </si>
  <si>
    <t>Interest rate</t>
  </si>
  <si>
    <t>PRICE OF</t>
  </si>
  <si>
    <t>GROSS CROP VALUE</t>
  </si>
  <si>
    <t>LAND</t>
  </si>
  <si>
    <t>Years financed</t>
  </si>
  <si>
    <t>Crop production cost per acre</t>
  </si>
  <si>
    <t>Depreciation cost per crop acre</t>
  </si>
  <si>
    <t>Expected gross crop value per acre including gov't payments</t>
  </si>
  <si>
    <t>Number of acres to purchase</t>
  </si>
  <si>
    <t>Cost per acre</t>
  </si>
  <si>
    <t>Expected annual income for land purchase based on financing</t>
  </si>
  <si>
    <t>Annual income for land purchase based on 100% financing</t>
  </si>
  <si>
    <t>Annual income for land purchase based on net cash flow</t>
  </si>
  <si>
    <t xml:space="preserve">  (excluding depreciation, not adjusted for opportunity cost)</t>
  </si>
  <si>
    <t>*** FORMULA FOR CALCULATING NET RETURN/ACRE=</t>
  </si>
  <si>
    <t>(GROSS CROP VALUE-(CROP PROD.$+DEPREC.$))*%HARVESTED ACRES</t>
  </si>
  <si>
    <t>- ANNUAL PAYMENT OF LOAN</t>
  </si>
  <si>
    <t>PER ACRE</t>
  </si>
  <si>
    <t>*** FORMULA FOR CALCULATING CASH FLOW=</t>
  </si>
  <si>
    <t>(AMOUNT BORROWED/ACRE-CROP PRODUCTION $) * % HARVESTED ACRES</t>
  </si>
  <si>
    <t>Percent of acres harvested   ( % )</t>
  </si>
  <si>
    <t>WORKSHEET FOR ESTABLISHING THE VALUE OF LAND</t>
  </si>
  <si>
    <t>Existing Grain Acres</t>
  </si>
  <si>
    <t>Grain Acres for Purchase</t>
  </si>
  <si>
    <t>Estimated Annual Capital Gain</t>
  </si>
  <si>
    <t>Annual Labour and Management Allowance</t>
  </si>
  <si>
    <t>Capitalization Rate</t>
  </si>
  <si>
    <t>Value of Buildings and Machinery</t>
  </si>
  <si>
    <t>Current Buildings</t>
  </si>
  <si>
    <t>Current Machinery</t>
  </si>
  <si>
    <t>Additional Buildings</t>
  </si>
  <si>
    <t>Additional Machinery</t>
  </si>
  <si>
    <t>STEP 1.  GROSS INCOME ESTIMATE</t>
  </si>
  <si>
    <t>Estimated yields and prices of grains (typical rotation) to be grown on the new land</t>
  </si>
  <si>
    <t>Crop</t>
  </si>
  <si>
    <t>Acres</t>
  </si>
  <si>
    <t>Yield</t>
  </si>
  <si>
    <t>Price</t>
  </si>
  <si>
    <t>Total Income</t>
  </si>
  <si>
    <t>Wheat</t>
  </si>
  <si>
    <t>Other Income</t>
  </si>
  <si>
    <t xml:space="preserve">Total grain acres for purchase = </t>
  </si>
  <si>
    <t>STEP 2.  COST OF PRODUCTION ESTIMATE</t>
  </si>
  <si>
    <t>A. Operating Costs</t>
  </si>
  <si>
    <t>1) Total annual operating expenses on existing farm unit</t>
  </si>
  <si>
    <t>2) Deduct:</t>
  </si>
  <si>
    <t>Interest on loans for capital assets</t>
  </si>
  <si>
    <t>Livestock share of total expenses including a protion of machinery costs except loan interest</t>
  </si>
  <si>
    <t>Extraordinary expenses not expected to continue</t>
  </si>
  <si>
    <t>Total</t>
  </si>
  <si>
    <t>= Total Operating Costs - Existing Land Base =</t>
  </si>
  <si>
    <t>3) Operating cost per grain acre:</t>
  </si>
  <si>
    <t>4) Adjust operating costs per acre for changes in farming practices of new land, e.g. more weed control (+) or (-)</t>
  </si>
  <si>
    <t>5) Expected operating costs per grain acre on new land</t>
  </si>
  <si>
    <t>B. Fixed Costs, Labour and Management</t>
  </si>
  <si>
    <t>1) Total annual fixed costs on existing Farm Unit:</t>
  </si>
  <si>
    <t>Labour and management for grain operation</t>
  </si>
  <si>
    <t>Total Fixed Costs on Existing Farm Unit</t>
  </si>
  <si>
    <t>2) Plus:</t>
  </si>
  <si>
    <t>Depreciation on grain portion of additional buildings (5%)  &amp; machinery (10%)</t>
  </si>
  <si>
    <t>Investment cost of grain portion of additional buildings &amp; machinery (10%)</t>
  </si>
  <si>
    <t>Management Allowance</t>
  </si>
  <si>
    <t>Sub-Total</t>
  </si>
  <si>
    <t>Total Fixed Costs</t>
  </si>
  <si>
    <t>3) Expected Fixed Costs per Grain Acre:</t>
  </si>
  <si>
    <t>= Total Fixed Costs/Existing Grain Acres + Grain Acres for Purchase =</t>
  </si>
  <si>
    <t>C. Total Costs</t>
  </si>
  <si>
    <t>Expected total costs per grain acre on new land:</t>
  </si>
  <si>
    <t>= Expected operating costs + Expected fixed costs =</t>
  </si>
  <si>
    <t>STEP 3.  RETURN TO LAND</t>
  </si>
  <si>
    <t>Return to land per acre for proposed purchase</t>
  </si>
  <si>
    <t>= Income per grain acre - Expected total cost per grain acre =</t>
  </si>
  <si>
    <t>STEP 4.  CAPITALIZATION (VALUE OF LAND)</t>
  </si>
  <si>
    <t>1) Productive value of land:</t>
  </si>
  <si>
    <t xml:space="preserve">= Return to land X 100/Capitalization rate = </t>
  </si>
  <si>
    <t>based on infinite years</t>
  </si>
  <si>
    <t>2) Economic value of land (including potential capital gain):</t>
  </si>
  <si>
    <t>= Return to land x 100/Capital rate-capital gain =</t>
  </si>
  <si>
    <t>3) Market value of land (reported in the area):</t>
  </si>
  <si>
    <t>4) Variances:</t>
  </si>
  <si>
    <t>Market value less productive value</t>
  </si>
  <si>
    <t>Market value less economic value</t>
  </si>
  <si>
    <t xml:space="preserve">Down payment  </t>
  </si>
  <si>
    <t>All operating cash costs including livestock,and cash expenses for the land to be purchased</t>
  </si>
  <si>
    <t>Amount of land to be purchased (acres)</t>
  </si>
  <si>
    <t>Price per Acre</t>
  </si>
  <si>
    <t xml:space="preserve">Loan  Payment per period </t>
  </si>
  <si>
    <t>Total Cost for Land</t>
  </si>
  <si>
    <t>(A)</t>
  </si>
  <si>
    <t>Loan Amount ($)</t>
  </si>
  <si>
    <t>Annual Interest Rate (%)</t>
  </si>
  <si>
    <t>Amortized Length of Loan (Years)</t>
  </si>
  <si>
    <t>Number of Payments Per Year</t>
  </si>
  <si>
    <t>(C)</t>
  </si>
  <si>
    <t>(B)</t>
  </si>
  <si>
    <t xml:space="preserve">Value of your current equipment </t>
  </si>
  <si>
    <t xml:space="preserve">Value of your current buildings </t>
  </si>
  <si>
    <t>Additional equipment and buildings if required because of land purchase</t>
  </si>
  <si>
    <t>(D)</t>
  </si>
  <si>
    <t>(E)</t>
  </si>
  <si>
    <t>(F)</t>
  </si>
  <si>
    <t>(G)</t>
  </si>
  <si>
    <t>(H)</t>
  </si>
  <si>
    <t>(I)</t>
  </si>
  <si>
    <t>(J)</t>
  </si>
  <si>
    <t>Total Payments</t>
  </si>
  <si>
    <t>Amortization factor</t>
  </si>
  <si>
    <t>Cash required for debt payments</t>
  </si>
  <si>
    <t>Maximum Debt you can Afford</t>
  </si>
  <si>
    <t>Calculations</t>
  </si>
  <si>
    <t>Buildings and Equipment</t>
  </si>
  <si>
    <t xml:space="preserve">Risk Adjustment to cash available </t>
  </si>
  <si>
    <t xml:space="preserve">Expected cash available (B - C)    </t>
  </si>
  <si>
    <t xml:space="preserve">Cash available for annual debt payments (E - F)              </t>
  </si>
  <si>
    <t>Amount of debt that can be serviced  (G divided by H)</t>
  </si>
  <si>
    <t xml:space="preserve"> Interest </t>
  </si>
  <si>
    <t>Rate</t>
  </si>
  <si>
    <t>Below is a chart to organize your current loans and a loan calculator</t>
  </si>
  <si>
    <t>Corn</t>
  </si>
  <si>
    <t>Soybeans</t>
  </si>
  <si>
    <t>Other Crop</t>
  </si>
  <si>
    <t>Total income</t>
  </si>
  <si>
    <t xml:space="preserve"> Income per acre:</t>
  </si>
  <si>
    <t>Amount financed - total dollar amount</t>
  </si>
  <si>
    <t xml:space="preserve">AMOUNT </t>
  </si>
  <si>
    <t>BORROWED</t>
  </si>
  <si>
    <t>CASH FLOW based on amount financed without depreciation</t>
  </si>
  <si>
    <t>Example</t>
  </si>
  <si>
    <t>Your Farm</t>
  </si>
  <si>
    <t>HOW MUCH CAN YOU AFFORD TO PAY FOR LAND?</t>
  </si>
  <si>
    <t>Other regular income (include spouses income)</t>
  </si>
  <si>
    <t>PURCHASE DETAILS</t>
  </si>
  <si>
    <t>CALCULATIONS</t>
  </si>
  <si>
    <t>INVESTMENT DETAILS</t>
  </si>
  <si>
    <t>Market Value of Comparable Sales (per acre)</t>
  </si>
  <si>
    <t xml:space="preserve">Depreciation on crop portion of buildings </t>
  </si>
  <si>
    <t xml:space="preserve">Depreciation on crop portion of machinery </t>
  </si>
  <si>
    <t>Interest on investments for crop portion of buildings &amp; machinery</t>
  </si>
  <si>
    <t>Option 1</t>
  </si>
  <si>
    <t>Option 2</t>
  </si>
  <si>
    <t>Option 3</t>
  </si>
  <si>
    <t>Option 4</t>
  </si>
  <si>
    <t>Finance and Business Structures Program Lead</t>
  </si>
  <si>
    <t>OMAFRA, Guelph</t>
  </si>
  <si>
    <t>Welcome to the Land Cost Calculator Menu Page</t>
  </si>
  <si>
    <t>Developed by Rob Gamble</t>
  </si>
  <si>
    <t xml:space="preserve">The Land Cost Calculator allows you to examine the cost of owning land and what you can afford to pay for it using a number of worksheets. </t>
  </si>
  <si>
    <r>
      <t>email:</t>
    </r>
    <r>
      <rPr>
        <sz val="12"/>
        <color indexed="12"/>
        <rFont val="Times New Roman"/>
        <family val="1"/>
      </rPr>
      <t xml:space="preserve"> rob.gamble@ontario.ca</t>
    </r>
  </si>
  <si>
    <t>Present value of Land Purchase  (A  plus B minus C)</t>
  </si>
  <si>
    <r>
      <t xml:space="preserve">Developed by </t>
    </r>
    <r>
      <rPr>
        <b/>
        <sz val="12"/>
        <rFont val="Arial"/>
        <family val="2"/>
      </rPr>
      <t>Rob Gamble</t>
    </r>
  </si>
  <si>
    <t>email: rgamble@omafra.gov.on.ca</t>
  </si>
  <si>
    <t>Difference (if negative the debt requirements are too high)</t>
  </si>
  <si>
    <r>
      <t xml:space="preserve">Total expected farm cash income </t>
    </r>
    <r>
      <rPr>
        <i/>
        <sz val="12"/>
        <rFont val="Arial"/>
        <family val="2"/>
      </rPr>
      <t xml:space="preserve">(including amount from land to be purchased)  </t>
    </r>
  </si>
  <si>
    <r>
      <t>Less:</t>
    </r>
    <r>
      <rPr>
        <sz val="12"/>
        <rFont val="Arial"/>
        <family val="2"/>
      </rPr>
      <t xml:space="preserve"> Allowance for risk (D) *(E)            </t>
    </r>
  </si>
  <si>
    <t>This is a farm business decision calculator that has 6 worksheets. There are fields that can be completed by the user. It is up to 11 columns wide and 91 rows.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</si>
</sst>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;;;"/>
    <numFmt numFmtId="171" formatCode="0.00_)"/>
    <numFmt numFmtId="172" formatCode="0_)"/>
    <numFmt numFmtId="173" formatCode="&quot;$&quot;#,##0"/>
    <numFmt numFmtId="174" formatCode="0.0_)"/>
    <numFmt numFmtId="175" formatCode="_(&quot;$&quot;* #,##0_);_(&quot;$&quot;* \(#,##0\);_(&quot;$&quot;* &quot;-&quot;??_);_(@_)"/>
    <numFmt numFmtId="176" formatCode="_-&quot;$&quot;* #,##0_-;\-&quot;$&quot;* #,##0_-;_-&quot;$&quot;* &quot;-&quot;??_-;_-@_-"/>
    <numFmt numFmtId="177" formatCode="_(* #,##0_);_(* \(#,##0\);_(* &quot;-&quot;??_);_(@_)"/>
    <numFmt numFmtId="178" formatCode="_(* #,##0.0000_);_(* \(#,##0.0000\);_(* &quot;-&quot;??_);_(@_)"/>
    <numFmt numFmtId="179" formatCode="#,##0.0000"/>
    <numFmt numFmtId="180" formatCode="mmmm\ yyyy"/>
  </numFmts>
  <fonts count="85">
    <font>
      <sz val="12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16"/>
      <color indexed="12"/>
      <name val="Arial"/>
      <family val="2"/>
    </font>
    <font>
      <b/>
      <u val="single"/>
      <sz val="9"/>
      <color indexed="10"/>
      <name val="Arial"/>
      <family val="2"/>
    </font>
    <font>
      <u val="single"/>
      <sz val="9"/>
      <name val="Arial"/>
      <family val="2"/>
    </font>
    <font>
      <b/>
      <sz val="10"/>
      <color indexed="12"/>
      <name val="MS Sans Serif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8"/>
      <color indexed="50"/>
      <name val="Helv"/>
      <family val="0"/>
    </font>
    <font>
      <b/>
      <sz val="10"/>
      <color indexed="50"/>
      <name val="MS Sans Serif"/>
      <family val="2"/>
    </font>
    <font>
      <b/>
      <sz val="18"/>
      <color indexed="53"/>
      <name val="Times New Roman"/>
      <family val="1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8"/>
      <color indexed="52"/>
      <name val="Garamond"/>
      <family val="1"/>
    </font>
    <font>
      <b/>
      <sz val="20"/>
      <color indexed="52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MS Sans Serif"/>
      <family val="2"/>
    </font>
    <font>
      <b/>
      <sz val="12"/>
      <color indexed="12"/>
      <name val="MS Sans Serif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color indexed="52"/>
      <name val="Garamond"/>
      <family val="1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8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56" applyFill="1">
      <alignment/>
      <protection/>
    </xf>
    <xf numFmtId="0" fontId="4" fillId="0" borderId="10" xfId="0" applyFont="1" applyBorder="1" applyAlignment="1" applyProtection="1">
      <alignment horizontal="left"/>
      <protection/>
    </xf>
    <xf numFmtId="8" fontId="6" fillId="0" borderId="0" xfId="44" applyNumberFormat="1" applyFont="1" applyFill="1" applyBorder="1" applyAlignment="1" applyProtection="1">
      <alignment/>
      <protection/>
    </xf>
    <xf numFmtId="0" fontId="8" fillId="0" borderId="0" xfId="56" applyFill="1" applyBorder="1">
      <alignment/>
      <protection/>
    </xf>
    <xf numFmtId="43" fontId="8" fillId="0" borderId="0" xfId="44" applyFont="1" applyFill="1" applyBorder="1" applyAlignment="1" applyProtection="1">
      <alignment horizontal="fill"/>
      <protection/>
    </xf>
    <xf numFmtId="43" fontId="8" fillId="0" borderId="0" xfId="44" applyFont="1" applyFill="1" applyBorder="1" applyAlignment="1">
      <alignment/>
    </xf>
    <xf numFmtId="40" fontId="6" fillId="0" borderId="0" xfId="44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fill"/>
      <protection/>
    </xf>
    <xf numFmtId="174" fontId="21" fillId="0" borderId="0" xfId="0" applyNumberFormat="1" applyFont="1" applyFill="1" applyBorder="1" applyAlignment="1" applyProtection="1">
      <alignment horizontal="right"/>
      <protection/>
    </xf>
    <xf numFmtId="169" fontId="22" fillId="0" borderId="0" xfId="42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11" fillId="0" borderId="0" xfId="56" applyNumberFormat="1" applyFont="1" applyFill="1" applyBorder="1" applyAlignment="1" applyProtection="1" quotePrefix="1">
      <alignment horizontal="center"/>
      <protection/>
    </xf>
    <xf numFmtId="1" fontId="12" fillId="0" borderId="0" xfId="56" applyNumberFormat="1" applyFont="1" applyFill="1" applyBorder="1" applyAlignment="1" applyProtection="1">
      <alignment horizontal="center"/>
      <protection/>
    </xf>
    <xf numFmtId="3" fontId="13" fillId="0" borderId="0" xfId="44" applyNumberFormat="1" applyFont="1" applyFill="1" applyBorder="1" applyAlignment="1" applyProtection="1">
      <alignment/>
      <protection locked="0"/>
    </xf>
    <xf numFmtId="0" fontId="13" fillId="0" borderId="0" xfId="44" applyNumberFormat="1" applyFont="1" applyFill="1" applyBorder="1" applyAlignment="1" applyProtection="1">
      <alignment/>
      <protection locked="0"/>
    </xf>
    <xf numFmtId="3" fontId="13" fillId="0" borderId="0" xfId="56" applyNumberFormat="1" applyFont="1" applyFill="1" applyBorder="1" applyProtection="1">
      <alignment/>
      <protection locked="0"/>
    </xf>
    <xf numFmtId="4" fontId="13" fillId="0" borderId="0" xfId="56" applyNumberFormat="1" applyFont="1" applyFill="1" applyBorder="1" applyProtection="1">
      <alignment/>
      <protection locked="0"/>
    </xf>
    <xf numFmtId="0" fontId="13" fillId="0" borderId="0" xfId="44" applyNumberFormat="1" applyFont="1" applyFill="1" applyBorder="1" applyAlignment="1" applyProtection="1">
      <alignment/>
      <protection locked="0"/>
    </xf>
    <xf numFmtId="0" fontId="13" fillId="0" borderId="0" xfId="44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9" fontId="15" fillId="0" borderId="0" xfId="60" applyFont="1" applyFill="1" applyAlignment="1">
      <alignment/>
    </xf>
    <xf numFmtId="0" fontId="5" fillId="0" borderId="0" xfId="0" applyFont="1" applyFill="1" applyAlignment="1" quotePrefix="1">
      <alignment horizontal="left" indent="1"/>
    </xf>
    <xf numFmtId="0" fontId="23" fillId="0" borderId="0" xfId="0" applyNumberFormat="1" applyFont="1" applyAlignment="1">
      <alignment horizontal="left" indent="1"/>
    </xf>
    <xf numFmtId="0" fontId="24" fillId="0" borderId="0" xfId="0" applyNumberFormat="1" applyFont="1" applyAlignment="1">
      <alignment/>
    </xf>
    <xf numFmtId="0" fontId="6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37" fontId="15" fillId="0" borderId="0" xfId="42" applyNumberFormat="1" applyFont="1" applyFill="1" applyBorder="1" applyAlignment="1" applyProtection="1">
      <alignment/>
      <protection locked="0"/>
    </xf>
    <xf numFmtId="171" fontId="15" fillId="0" borderId="0" xfId="0" applyNumberFormat="1" applyFont="1" applyFill="1" applyBorder="1" applyAlignment="1" applyProtection="1">
      <alignment/>
      <protection locked="0"/>
    </xf>
    <xf numFmtId="172" fontId="15" fillId="0" borderId="0" xfId="0" applyNumberFormat="1" applyFont="1" applyFill="1" applyBorder="1" applyAlignment="1" applyProtection="1">
      <alignment/>
      <protection locked="0"/>
    </xf>
    <xf numFmtId="168" fontId="5" fillId="0" borderId="0" xfId="45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 locked="0"/>
    </xf>
    <xf numFmtId="37" fontId="5" fillId="0" borderId="0" xfId="42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168" fontId="6" fillId="0" borderId="0" xfId="45" applyFont="1" applyFill="1" applyBorder="1" applyAlignment="1">
      <alignment/>
    </xf>
    <xf numFmtId="168" fontId="6" fillId="0" borderId="0" xfId="45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173" fontId="15" fillId="0" borderId="0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17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7" fillId="0" borderId="0" xfId="56" applyFont="1" applyFill="1" applyBorder="1" applyAlignment="1" applyProtection="1" quotePrefix="1">
      <alignment horizontal="left"/>
      <protection/>
    </xf>
    <xf numFmtId="0" fontId="9" fillId="0" borderId="0" xfId="56" applyFont="1" applyFill="1" applyBorder="1" applyAlignment="1" applyProtection="1" quotePrefix="1">
      <alignment/>
      <protection/>
    </xf>
    <xf numFmtId="0" fontId="8" fillId="0" borderId="0" xfId="56" applyFont="1" applyFill="1" applyBorder="1">
      <alignment/>
      <protection/>
    </xf>
    <xf numFmtId="0" fontId="8" fillId="0" borderId="0" xfId="56" applyFont="1" applyFill="1" applyBorder="1" applyAlignment="1" applyProtection="1" quotePrefix="1">
      <alignment/>
      <protection/>
    </xf>
    <xf numFmtId="0" fontId="8" fillId="0" borderId="0" xfId="56" applyFont="1" applyFill="1" applyBorder="1" applyAlignment="1" applyProtection="1" quotePrefix="1">
      <alignment horizontal="left"/>
      <protection/>
    </xf>
    <xf numFmtId="0" fontId="16" fillId="0" borderId="0" xfId="56" applyFont="1" applyFill="1" applyBorder="1" applyAlignment="1" applyProtection="1" quotePrefix="1">
      <alignment/>
      <protection/>
    </xf>
    <xf numFmtId="0" fontId="17" fillId="0" borderId="0" xfId="56" applyFont="1" applyFill="1" applyBorder="1" applyAlignment="1" applyProtection="1">
      <alignment horizontal="left"/>
      <protection/>
    </xf>
    <xf numFmtId="0" fontId="17" fillId="0" borderId="0" xfId="56" applyFont="1" applyFill="1" applyBorder="1" applyAlignment="1" applyProtection="1">
      <alignment/>
      <protection/>
    </xf>
    <xf numFmtId="179" fontId="0" fillId="0" borderId="0" xfId="0" applyNumberFormat="1" applyFill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26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29" fillId="34" borderId="0" xfId="0" applyFont="1" applyFill="1" applyAlignment="1" quotePrefix="1">
      <alignment horizontal="left"/>
    </xf>
    <xf numFmtId="0" fontId="0" fillId="34" borderId="0" xfId="0" applyFill="1" applyAlignment="1">
      <alignment/>
    </xf>
    <xf numFmtId="0" fontId="32" fillId="35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left" indent="14"/>
    </xf>
    <xf numFmtId="0" fontId="24" fillId="37" borderId="11" xfId="0" applyFont="1" applyFill="1" applyBorder="1" applyAlignment="1">
      <alignment wrapText="1"/>
    </xf>
    <xf numFmtId="0" fontId="24" fillId="37" borderId="12" xfId="0" applyFont="1" applyFill="1" applyBorder="1" applyAlignment="1">
      <alignment wrapText="1"/>
    </xf>
    <xf numFmtId="0" fontId="24" fillId="37" borderId="13" xfId="0" applyFont="1" applyFill="1" applyBorder="1" applyAlignment="1">
      <alignment horizontal="left" indent="3"/>
    </xf>
    <xf numFmtId="0" fontId="26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vertical="top" wrapText="1"/>
    </xf>
    <xf numFmtId="0" fontId="34" fillId="35" borderId="0" xfId="0" applyFont="1" applyFill="1" applyAlignment="1">
      <alignment/>
    </xf>
    <xf numFmtId="180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8" fillId="0" borderId="0" xfId="0" applyFont="1" applyAlignment="1">
      <alignment/>
    </xf>
    <xf numFmtId="9" fontId="38" fillId="0" borderId="0" xfId="60" applyFont="1" applyAlignment="1">
      <alignment/>
    </xf>
    <xf numFmtId="9" fontId="0" fillId="0" borderId="0" xfId="60" applyFont="1" applyAlignment="1">
      <alignment/>
    </xf>
    <xf numFmtId="165" fontId="0" fillId="33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4" fillId="38" borderId="0" xfId="0" applyFont="1" applyFill="1" applyAlignment="1">
      <alignment/>
    </xf>
    <xf numFmtId="165" fontId="0" fillId="3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39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 quotePrefix="1">
      <alignment horizontal="left" indent="1"/>
    </xf>
    <xf numFmtId="0" fontId="0" fillId="0" borderId="0" xfId="56" applyFont="1" applyFill="1">
      <alignment/>
      <protection/>
    </xf>
    <xf numFmtId="0" fontId="0" fillId="0" borderId="0" xfId="0" applyFont="1" applyAlignment="1">
      <alignment horizontal="left" indent="1"/>
    </xf>
    <xf numFmtId="175" fontId="38" fillId="0" borderId="0" xfId="45" applyNumberFormat="1" applyFont="1" applyAlignment="1">
      <alignment/>
    </xf>
    <xf numFmtId="0" fontId="0" fillId="0" borderId="0" xfId="56" applyFont="1" applyFill="1" applyBorder="1" applyAlignment="1" applyProtection="1" quotePrefix="1">
      <alignment horizontal="left" indent="1"/>
      <protection/>
    </xf>
    <xf numFmtId="3" fontId="40" fillId="0" borderId="0" xfId="56" applyNumberFormat="1" applyFont="1" applyFill="1" applyBorder="1" applyProtection="1">
      <alignment/>
      <protection locked="0"/>
    </xf>
    <xf numFmtId="0" fontId="0" fillId="0" borderId="0" xfId="56" applyFont="1" applyFill="1" applyBorder="1" applyAlignment="1" applyProtection="1">
      <alignment horizontal="left" indent="1"/>
      <protection/>
    </xf>
    <xf numFmtId="4" fontId="41" fillId="0" borderId="0" xfId="56" applyNumberFormat="1" applyFont="1" applyFill="1" applyBorder="1" applyProtection="1">
      <alignment/>
      <protection locked="0"/>
    </xf>
    <xf numFmtId="0" fontId="41" fillId="0" borderId="0" xfId="44" applyNumberFormat="1" applyFont="1" applyFill="1" applyBorder="1" applyAlignment="1" applyProtection="1">
      <alignment/>
      <protection locked="0"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 horizontal="left" indent="1"/>
      <protection/>
    </xf>
    <xf numFmtId="0" fontId="41" fillId="0" borderId="0" xfId="44" applyNumberFormat="1" applyFont="1" applyFill="1" applyBorder="1" applyAlignment="1" applyProtection="1">
      <alignment/>
      <protection locked="0"/>
    </xf>
    <xf numFmtId="0" fontId="25" fillId="39" borderId="0" xfId="56" applyFont="1" applyFill="1" applyBorder="1" applyAlignment="1" applyProtection="1" quotePrefix="1">
      <alignment horizontal="left" indent="1"/>
      <protection/>
    </xf>
    <xf numFmtId="43" fontId="0" fillId="0" borderId="0" xfId="44" applyFont="1" applyFill="1" applyBorder="1" applyAlignment="1" applyProtection="1">
      <alignment horizontal="fill"/>
      <protection/>
    </xf>
    <xf numFmtId="0" fontId="4" fillId="0" borderId="0" xfId="56" applyFont="1" applyFill="1" applyBorder="1" applyAlignment="1" applyProtection="1">
      <alignment horizontal="left" indent="1"/>
      <protection/>
    </xf>
    <xf numFmtId="8" fontId="4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indent="1"/>
    </xf>
    <xf numFmtId="3" fontId="41" fillId="0" borderId="0" xfId="56" applyNumberFormat="1" applyFont="1" applyFill="1" applyBorder="1" applyProtection="1">
      <alignment/>
      <protection locked="0"/>
    </xf>
    <xf numFmtId="177" fontId="38" fillId="0" borderId="0" xfId="42" applyNumberFormat="1" applyFont="1" applyAlignment="1">
      <alignment/>
    </xf>
    <xf numFmtId="6" fontId="4" fillId="0" borderId="0" xfId="44" applyNumberFormat="1" applyFont="1" applyFill="1" applyBorder="1" applyAlignment="1" applyProtection="1">
      <alignment/>
      <protection/>
    </xf>
    <xf numFmtId="0" fontId="3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7" fontId="38" fillId="0" borderId="0" xfId="42" applyNumberFormat="1" applyFont="1" applyFill="1" applyAlignment="1">
      <alignment/>
    </xf>
    <xf numFmtId="0" fontId="4" fillId="0" borderId="0" xfId="0" applyFont="1" applyAlignment="1" quotePrefix="1">
      <alignment horizontal="left" indent="1"/>
    </xf>
    <xf numFmtId="177" fontId="43" fillId="0" borderId="0" xfId="42" applyNumberFormat="1" applyFont="1" applyAlignment="1">
      <alignment/>
    </xf>
    <xf numFmtId="177" fontId="4" fillId="33" borderId="0" xfId="42" applyNumberFormat="1" applyFont="1" applyFill="1" applyAlignment="1">
      <alignment/>
    </xf>
    <xf numFmtId="0" fontId="0" fillId="0" borderId="0" xfId="0" applyFont="1" applyAlignment="1">
      <alignment horizontal="left" wrapText="1" indent="1"/>
    </xf>
    <xf numFmtId="177" fontId="0" fillId="0" borderId="0" xfId="42" applyNumberFormat="1" applyFont="1" applyAlignment="1">
      <alignment/>
    </xf>
    <xf numFmtId="0" fontId="4" fillId="0" borderId="0" xfId="0" applyFont="1" applyFill="1" applyAlignment="1" quotePrefix="1">
      <alignment horizontal="left" indent="1"/>
    </xf>
    <xf numFmtId="177" fontId="4" fillId="0" borderId="0" xfId="42" applyNumberFormat="1" applyFont="1" applyFill="1" applyAlignment="1">
      <alignment/>
    </xf>
    <xf numFmtId="0" fontId="36" fillId="36" borderId="0" xfId="0" applyFont="1" applyFill="1" applyAlignment="1">
      <alignment horizontal="left" indent="1"/>
    </xf>
    <xf numFmtId="9" fontId="38" fillId="0" borderId="0" xfId="60" applyFont="1" applyFill="1" applyAlignment="1">
      <alignment/>
    </xf>
    <xf numFmtId="0" fontId="0" fillId="0" borderId="14" xfId="0" applyFont="1" applyBorder="1" applyAlignment="1">
      <alignment horizontal="left" indent="1"/>
    </xf>
    <xf numFmtId="177" fontId="0" fillId="0" borderId="15" xfId="42" applyNumberFormat="1" applyFont="1" applyBorder="1" applyAlignment="1">
      <alignment/>
    </xf>
    <xf numFmtId="0" fontId="4" fillId="36" borderId="0" xfId="0" applyFont="1" applyFill="1" applyAlignment="1">
      <alignment horizontal="left"/>
    </xf>
    <xf numFmtId="38" fontId="4" fillId="36" borderId="0" xfId="42" applyNumberFormat="1" applyFont="1" applyFill="1" applyAlignment="1">
      <alignment/>
    </xf>
    <xf numFmtId="38" fontId="4" fillId="0" borderId="0" xfId="42" applyNumberFormat="1" applyFont="1" applyFill="1" applyAlignment="1">
      <alignment/>
    </xf>
    <xf numFmtId="178" fontId="0" fillId="0" borderId="0" xfId="42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 horizontal="fill"/>
      <protection/>
    </xf>
    <xf numFmtId="0" fontId="0" fillId="0" borderId="0" xfId="0" applyFont="1" applyFill="1" applyAlignment="1" quotePrefix="1">
      <alignment horizontal="left" indent="1"/>
    </xf>
    <xf numFmtId="0" fontId="0" fillId="38" borderId="16" xfId="0" applyFont="1" applyFill="1" applyBorder="1" applyAlignment="1">
      <alignment/>
    </xf>
    <xf numFmtId="0" fontId="44" fillId="38" borderId="17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170" fontId="0" fillId="38" borderId="17" xfId="0" applyNumberFormat="1" applyFont="1" applyFill="1" applyBorder="1" applyAlignment="1" applyProtection="1">
      <alignment horizontal="left"/>
      <protection/>
    </xf>
    <xf numFmtId="0" fontId="0" fillId="38" borderId="15" xfId="0" applyFont="1" applyFill="1" applyBorder="1" applyAlignment="1">
      <alignment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5" fillId="0" borderId="16" xfId="0" applyFont="1" applyBorder="1" applyAlignment="1" applyProtection="1" quotePrefix="1">
      <alignment horizontal="left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 quotePrefix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7" fontId="38" fillId="0" borderId="23" xfId="42" applyNumberFormat="1" applyFont="1" applyBorder="1" applyAlignment="1" applyProtection="1">
      <alignment/>
      <protection locked="0"/>
    </xf>
    <xf numFmtId="171" fontId="38" fillId="0" borderId="23" xfId="0" applyNumberFormat="1" applyFont="1" applyBorder="1" applyAlignment="1" applyProtection="1">
      <alignment/>
      <protection locked="0"/>
    </xf>
    <xf numFmtId="172" fontId="38" fillId="0" borderId="23" xfId="0" applyNumberFormat="1" applyFont="1" applyBorder="1" applyAlignment="1" applyProtection="1">
      <alignment/>
      <protection locked="0"/>
    </xf>
    <xf numFmtId="168" fontId="0" fillId="0" borderId="24" xfId="45" applyFont="1" applyBorder="1" applyAlignment="1" applyProtection="1">
      <alignment/>
      <protection/>
    </xf>
    <xf numFmtId="0" fontId="38" fillId="0" borderId="22" xfId="0" applyFont="1" applyBorder="1" applyAlignment="1" applyProtection="1">
      <alignment horizontal="left"/>
      <protection locked="0"/>
    </xf>
    <xf numFmtId="37" fontId="0" fillId="0" borderId="23" xfId="42" applyNumberFormat="1" applyFont="1" applyBorder="1" applyAlignment="1" applyProtection="1">
      <alignment/>
      <protection/>
    </xf>
    <xf numFmtId="171" fontId="0" fillId="0" borderId="23" xfId="0" applyNumberFormat="1" applyFont="1" applyBorder="1" applyAlignment="1" applyProtection="1">
      <alignment/>
      <protection/>
    </xf>
    <xf numFmtId="172" fontId="0" fillId="0" borderId="23" xfId="0" applyNumberFormat="1" applyFont="1" applyBorder="1" applyAlignment="1" applyProtection="1">
      <alignment/>
      <protection/>
    </xf>
    <xf numFmtId="0" fontId="4" fillId="38" borderId="14" xfId="0" applyFont="1" applyFill="1" applyBorder="1" applyAlignment="1" applyProtection="1" quotePrefix="1">
      <alignment horizontal="right"/>
      <protection/>
    </xf>
    <xf numFmtId="168" fontId="4" fillId="38" borderId="25" xfId="45" applyFont="1" applyFill="1" applyBorder="1" applyAlignment="1">
      <alignment/>
    </xf>
    <xf numFmtId="0" fontId="0" fillId="38" borderId="25" xfId="0" applyFont="1" applyFill="1" applyBorder="1" applyAlignment="1">
      <alignment/>
    </xf>
    <xf numFmtId="168" fontId="4" fillId="38" borderId="15" xfId="45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fill"/>
      <protection/>
    </xf>
    <xf numFmtId="0" fontId="0" fillId="0" borderId="19" xfId="0" applyFont="1" applyBorder="1" applyAlignment="1" applyProtection="1">
      <alignment horizontal="fill"/>
      <protection/>
    </xf>
    <xf numFmtId="0" fontId="45" fillId="0" borderId="22" xfId="0" applyFont="1" applyBorder="1" applyAlignment="1" applyProtection="1" quotePrefix="1">
      <alignment horizontal="left"/>
      <protection/>
    </xf>
    <xf numFmtId="0" fontId="4" fillId="0" borderId="23" xfId="0" applyFont="1" applyBorder="1" applyAlignment="1" applyProtection="1" quotePrefix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173" fontId="38" fillId="0" borderId="23" xfId="0" applyNumberFormat="1" applyFont="1" applyBorder="1" applyAlignment="1" applyProtection="1">
      <alignment/>
      <protection locked="0"/>
    </xf>
    <xf numFmtId="3" fontId="38" fillId="0" borderId="23" xfId="0" applyNumberFormat="1" applyFont="1" applyBorder="1" applyAlignment="1" applyProtection="1">
      <alignment/>
      <protection locked="0"/>
    </xf>
    <xf numFmtId="0" fontId="35" fillId="0" borderId="23" xfId="0" applyFont="1" applyBorder="1" applyAlignment="1">
      <alignment/>
    </xf>
    <xf numFmtId="0" fontId="44" fillId="0" borderId="22" xfId="0" applyFont="1" applyBorder="1" applyAlignment="1" applyProtection="1">
      <alignment horizontal="left"/>
      <protection locked="0"/>
    </xf>
    <xf numFmtId="173" fontId="0" fillId="0" borderId="23" xfId="0" applyNumberFormat="1" applyFont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 quotePrefix="1">
      <alignment horizontal="left"/>
      <protection/>
    </xf>
    <xf numFmtId="173" fontId="38" fillId="0" borderId="20" xfId="0" applyNumberFormat="1" applyFont="1" applyBorder="1" applyAlignment="1" applyProtection="1">
      <alignment/>
      <protection locked="0"/>
    </xf>
    <xf numFmtId="0" fontId="36" fillId="37" borderId="10" xfId="56" applyFont="1" applyFill="1" applyBorder="1" applyAlignment="1" applyProtection="1" quotePrefix="1">
      <alignment horizontal="left"/>
      <protection/>
    </xf>
    <xf numFmtId="0" fontId="36" fillId="37" borderId="26" xfId="56" applyFont="1" applyFill="1" applyBorder="1" applyAlignment="1" applyProtection="1" quotePrefix="1">
      <alignment/>
      <protection/>
    </xf>
    <xf numFmtId="0" fontId="0" fillId="37" borderId="26" xfId="56" applyFont="1" applyFill="1" applyBorder="1">
      <alignment/>
      <protection/>
    </xf>
    <xf numFmtId="0" fontId="0" fillId="37" borderId="19" xfId="56" applyFont="1" applyFill="1" applyBorder="1">
      <alignment/>
      <protection/>
    </xf>
    <xf numFmtId="0" fontId="0" fillId="0" borderId="22" xfId="56" applyFont="1" applyFill="1" applyBorder="1" applyAlignment="1" applyProtection="1" quotePrefix="1">
      <alignment/>
      <protection/>
    </xf>
    <xf numFmtId="1" fontId="46" fillId="0" borderId="0" xfId="56" applyNumberFormat="1" applyFont="1" applyFill="1" applyBorder="1" applyAlignment="1" applyProtection="1" quotePrefix="1">
      <alignment horizontal="center"/>
      <protection/>
    </xf>
    <xf numFmtId="1" fontId="47" fillId="0" borderId="0" xfId="56" applyNumberFormat="1" applyFont="1" applyFill="1" applyBorder="1" applyAlignment="1" applyProtection="1">
      <alignment horizontal="center"/>
      <protection/>
    </xf>
    <xf numFmtId="1" fontId="47" fillId="0" borderId="24" xfId="56" applyNumberFormat="1" applyFont="1" applyFill="1" applyBorder="1" applyAlignment="1" applyProtection="1">
      <alignment horizontal="center"/>
      <protection/>
    </xf>
    <xf numFmtId="0" fontId="0" fillId="0" borderId="22" xfId="56" applyFont="1" applyFill="1" applyBorder="1" applyAlignment="1" applyProtection="1" quotePrefix="1">
      <alignment horizontal="left"/>
      <protection/>
    </xf>
    <xf numFmtId="3" fontId="41" fillId="37" borderId="18" xfId="56" applyNumberFormat="1" applyFont="1" applyFill="1" applyBorder="1" applyProtection="1">
      <alignment/>
      <protection locked="0"/>
    </xf>
    <xf numFmtId="3" fontId="41" fillId="0" borderId="0" xfId="44" applyNumberFormat="1" applyFont="1" applyFill="1" applyBorder="1" applyAlignment="1" applyProtection="1">
      <alignment/>
      <protection locked="0"/>
    </xf>
    <xf numFmtId="3" fontId="41" fillId="0" borderId="24" xfId="44" applyNumberFormat="1" applyFont="1" applyFill="1" applyBorder="1" applyAlignment="1" applyProtection="1">
      <alignment/>
      <protection locked="0"/>
    </xf>
    <xf numFmtId="4" fontId="41" fillId="37" borderId="23" xfId="56" applyNumberFormat="1" applyFont="1" applyFill="1" applyBorder="1" applyProtection="1">
      <alignment/>
      <protection locked="0"/>
    </xf>
    <xf numFmtId="0" fontId="41" fillId="0" borderId="24" xfId="44" applyNumberFormat="1" applyFont="1" applyFill="1" applyBorder="1" applyAlignment="1" applyProtection="1">
      <alignment/>
      <protection locked="0"/>
    </xf>
    <xf numFmtId="0" fontId="41" fillId="37" borderId="23" xfId="44" applyNumberFormat="1" applyFont="1" applyFill="1" applyBorder="1" applyAlignment="1" applyProtection="1">
      <alignment/>
      <protection locked="0"/>
    </xf>
    <xf numFmtId="0" fontId="0" fillId="0" borderId="22" xfId="56" applyFont="1" applyFill="1" applyBorder="1">
      <alignment/>
      <protection/>
    </xf>
    <xf numFmtId="0" fontId="41" fillId="37" borderId="23" xfId="44" applyNumberFormat="1" applyFont="1" applyFill="1" applyBorder="1" applyAlignment="1" applyProtection="1">
      <alignment/>
      <protection locked="0"/>
    </xf>
    <xf numFmtId="0" fontId="25" fillId="0" borderId="16" xfId="56" applyFont="1" applyFill="1" applyBorder="1" applyAlignment="1" applyProtection="1" quotePrefix="1">
      <alignment/>
      <protection/>
    </xf>
    <xf numFmtId="43" fontId="0" fillId="37" borderId="20" xfId="44" applyFont="1" applyFill="1" applyBorder="1" applyAlignment="1" applyProtection="1">
      <alignment horizontal="fill"/>
      <protection/>
    </xf>
    <xf numFmtId="43" fontId="0" fillId="0" borderId="17" xfId="44" applyFont="1" applyFill="1" applyBorder="1" applyAlignment="1" applyProtection="1">
      <alignment horizontal="fill"/>
      <protection/>
    </xf>
    <xf numFmtId="43" fontId="0" fillId="0" borderId="21" xfId="44" applyFont="1" applyFill="1" applyBorder="1" applyAlignment="1" applyProtection="1">
      <alignment horizontal="fill"/>
      <protection/>
    </xf>
    <xf numFmtId="0" fontId="4" fillId="0" borderId="22" xfId="56" applyFont="1" applyFill="1" applyBorder="1" applyAlignment="1" applyProtection="1">
      <alignment horizontal="left"/>
      <protection/>
    </xf>
    <xf numFmtId="8" fontId="4" fillId="37" borderId="23" xfId="44" applyNumberFormat="1" applyFont="1" applyFill="1" applyBorder="1" applyAlignment="1" applyProtection="1">
      <alignment/>
      <protection/>
    </xf>
    <xf numFmtId="8" fontId="4" fillId="0" borderId="24" xfId="44" applyNumberFormat="1" applyFont="1" applyFill="1" applyBorder="1" applyAlignment="1" applyProtection="1">
      <alignment/>
      <protection/>
    </xf>
    <xf numFmtId="0" fontId="4" fillId="0" borderId="16" xfId="56" applyFont="1" applyFill="1" applyBorder="1" applyAlignment="1" applyProtection="1">
      <alignment horizontal="left"/>
      <protection/>
    </xf>
    <xf numFmtId="8" fontId="4" fillId="37" borderId="20" xfId="44" applyNumberFormat="1" applyFont="1" applyFill="1" applyBorder="1" applyAlignment="1" applyProtection="1">
      <alignment/>
      <protection/>
    </xf>
    <xf numFmtId="8" fontId="4" fillId="0" borderId="17" xfId="44" applyNumberFormat="1" applyFont="1" applyFill="1" applyBorder="1" applyAlignment="1" applyProtection="1">
      <alignment/>
      <protection/>
    </xf>
    <xf numFmtId="8" fontId="4" fillId="0" borderId="21" xfId="44" applyNumberFormat="1" applyFont="1" applyFill="1" applyBorder="1" applyAlignment="1" applyProtection="1">
      <alignment/>
      <protection/>
    </xf>
    <xf numFmtId="0" fontId="4" fillId="0" borderId="22" xfId="56" applyFont="1" applyFill="1" applyBorder="1" applyAlignment="1" applyProtection="1">
      <alignment/>
      <protection/>
    </xf>
    <xf numFmtId="43" fontId="0" fillId="0" borderId="24" xfId="44" applyFont="1" applyFill="1" applyBorder="1" applyAlignment="1" applyProtection="1">
      <alignment horizontal="fill"/>
      <protection/>
    </xf>
    <xf numFmtId="43" fontId="0" fillId="0" borderId="0" xfId="44" applyFont="1" applyFill="1" applyBorder="1" applyAlignment="1">
      <alignment/>
    </xf>
    <xf numFmtId="40" fontId="4" fillId="0" borderId="0" xfId="44" applyNumberFormat="1" applyFont="1" applyFill="1" applyBorder="1" applyAlignment="1" applyProtection="1">
      <alignment/>
      <protection/>
    </xf>
    <xf numFmtId="40" fontId="4" fillId="0" borderId="24" xfId="44" applyNumberFormat="1" applyFont="1" applyFill="1" applyBorder="1" applyAlignment="1" applyProtection="1">
      <alignment/>
      <protection/>
    </xf>
    <xf numFmtId="43" fontId="0" fillId="0" borderId="17" xfId="44" applyFont="1" applyFill="1" applyBorder="1" applyAlignment="1">
      <alignment/>
    </xf>
    <xf numFmtId="40" fontId="4" fillId="0" borderId="17" xfId="44" applyNumberFormat="1" applyFont="1" applyFill="1" applyBorder="1" applyAlignment="1" applyProtection="1">
      <alignment/>
      <protection/>
    </xf>
    <xf numFmtId="40" fontId="4" fillId="0" borderId="21" xfId="44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 horizontal="left" indent="5"/>
    </xf>
    <xf numFmtId="0" fontId="0" fillId="0" borderId="0" xfId="0" applyFont="1" applyAlignment="1">
      <alignment/>
    </xf>
    <xf numFmtId="9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38" fillId="0" borderId="0" xfId="45" applyNumberFormat="1" applyFont="1" applyAlignment="1">
      <alignment/>
    </xf>
    <xf numFmtId="0" fontId="4" fillId="0" borderId="0" xfId="0" applyFont="1" applyAlignment="1">
      <alignment/>
    </xf>
    <xf numFmtId="3" fontId="44" fillId="0" borderId="0" xfId="0" applyNumberFormat="1" applyFont="1" applyAlignment="1">
      <alignment/>
    </xf>
    <xf numFmtId="175" fontId="38" fillId="0" borderId="0" xfId="45" applyNumberFormat="1" applyFont="1" applyAlignment="1">
      <alignment horizontal="right"/>
    </xf>
    <xf numFmtId="0" fontId="0" fillId="0" borderId="0" xfId="0" applyFont="1" applyAlignment="1" applyProtection="1">
      <alignment vertical="top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wrapText="1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173" fontId="0" fillId="0" borderId="0" xfId="45" applyNumberFormat="1" applyFont="1" applyAlignment="1">
      <alignment horizontal="right"/>
    </xf>
    <xf numFmtId="173" fontId="38" fillId="0" borderId="0" xfId="45" applyNumberFormat="1" applyFont="1" applyAlignment="1">
      <alignment horizontal="right"/>
    </xf>
    <xf numFmtId="0" fontId="4" fillId="36" borderId="0" xfId="0" applyFont="1" applyFill="1" applyAlignment="1">
      <alignment horizontal="right"/>
    </xf>
    <xf numFmtId="168" fontId="4" fillId="36" borderId="0" xfId="45" applyFont="1" applyFill="1" applyAlignment="1">
      <alignment horizontal="right"/>
    </xf>
    <xf numFmtId="168" fontId="4" fillId="36" borderId="0" xfId="45" applyFont="1" applyFill="1" applyAlignment="1">
      <alignment/>
    </xf>
    <xf numFmtId="0" fontId="0" fillId="0" borderId="0" xfId="0" applyFont="1" applyAlignment="1">
      <alignment wrapText="1"/>
    </xf>
    <xf numFmtId="168" fontId="38" fillId="0" borderId="0" xfId="45" applyFont="1" applyAlignment="1">
      <alignment/>
    </xf>
    <xf numFmtId="0" fontId="0" fillId="0" borderId="0" xfId="0" applyFont="1" applyAlignment="1">
      <alignment horizontal="right"/>
    </xf>
    <xf numFmtId="175" fontId="0" fillId="0" borderId="0" xfId="45" applyNumberFormat="1" applyFont="1" applyAlignment="1">
      <alignment/>
    </xf>
    <xf numFmtId="0" fontId="0" fillId="0" borderId="0" xfId="0" applyFont="1" applyAlignment="1" quotePrefix="1">
      <alignment/>
    </xf>
    <xf numFmtId="168" fontId="0" fillId="0" borderId="0" xfId="45" applyFont="1" applyAlignment="1">
      <alignment/>
    </xf>
    <xf numFmtId="0" fontId="0" fillId="33" borderId="0" xfId="0" applyFont="1" applyFill="1" applyAlignment="1">
      <alignment/>
    </xf>
    <xf numFmtId="168" fontId="0" fillId="33" borderId="0" xfId="45" applyFont="1" applyFill="1" applyAlignment="1">
      <alignment/>
    </xf>
    <xf numFmtId="176" fontId="0" fillId="0" borderId="0" xfId="45" applyNumberFormat="1" applyFont="1" applyAlignment="1">
      <alignment/>
    </xf>
    <xf numFmtId="176" fontId="0" fillId="0" borderId="0" xfId="45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44" fillId="0" borderId="0" xfId="0" applyNumberFormat="1" applyFont="1" applyAlignment="1">
      <alignment/>
    </xf>
    <xf numFmtId="176" fontId="4" fillId="0" borderId="0" xfId="45" applyNumberFormat="1" applyFont="1" applyAlignment="1">
      <alignment/>
    </xf>
    <xf numFmtId="0" fontId="0" fillId="0" borderId="0" xfId="0" applyFont="1" applyAlignment="1">
      <alignment vertical="top" wrapText="1"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0" fillId="0" borderId="0" xfId="0" applyFont="1" applyAlignment="1" quotePrefix="1">
      <alignment wrapText="1"/>
    </xf>
    <xf numFmtId="0" fontId="0" fillId="33" borderId="0" xfId="0" applyFont="1" applyFill="1" applyAlignment="1" quotePrefix="1">
      <alignment/>
    </xf>
    <xf numFmtId="44" fontId="4" fillId="33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167" fontId="4" fillId="0" borderId="0" xfId="45" applyNumberFormat="1" applyFont="1" applyAlignment="1">
      <alignment/>
    </xf>
    <xf numFmtId="168" fontId="4" fillId="0" borderId="0" xfId="45" applyFont="1" applyAlignment="1">
      <alignment/>
    </xf>
    <xf numFmtId="44" fontId="0" fillId="0" borderId="0" xfId="0" applyNumberFormat="1" applyFont="1" applyAlignment="1">
      <alignment/>
    </xf>
    <xf numFmtId="0" fontId="26" fillId="0" borderId="0" xfId="0" applyFont="1" applyAlignment="1">
      <alignment horizontal="left" indent="13"/>
    </xf>
    <xf numFmtId="0" fontId="0" fillId="0" borderId="0" xfId="0" applyNumberFormat="1" applyFont="1" applyAlignment="1">
      <alignment horizontal="left" indent="1"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left" indent="1"/>
    </xf>
    <xf numFmtId="0" fontId="38" fillId="0" borderId="25" xfId="0" applyNumberFormat="1" applyFont="1" applyBorder="1" applyAlignment="1">
      <alignment/>
    </xf>
    <xf numFmtId="0" fontId="4" fillId="0" borderId="18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64" fontId="38" fillId="0" borderId="25" xfId="0" applyNumberFormat="1" applyFont="1" applyBorder="1" applyAlignment="1">
      <alignment/>
    </xf>
    <xf numFmtId="0" fontId="4" fillId="0" borderId="20" xfId="0" applyNumberFormat="1" applyFont="1" applyBorder="1" applyAlignment="1">
      <alignment horizontal="right"/>
    </xf>
    <xf numFmtId="164" fontId="4" fillId="38" borderId="1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167" fontId="0" fillId="0" borderId="25" xfId="0" applyNumberFormat="1" applyFont="1" applyBorder="1" applyAlignment="1">
      <alignment/>
    </xf>
    <xf numFmtId="0" fontId="38" fillId="0" borderId="25" xfId="60" applyNumberFormat="1" applyFont="1" applyBorder="1" applyAlignment="1">
      <alignment/>
    </xf>
    <xf numFmtId="166" fontId="38" fillId="0" borderId="25" xfId="0" applyNumberFormat="1" applyFont="1" applyBorder="1" applyAlignment="1">
      <alignment/>
    </xf>
    <xf numFmtId="164" fontId="0" fillId="37" borderId="25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left" indent="1"/>
    </xf>
    <xf numFmtId="164" fontId="0" fillId="37" borderId="18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 horizontal="left" indent="1"/>
    </xf>
    <xf numFmtId="0" fontId="0" fillId="37" borderId="2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4" fillId="0" borderId="20" xfId="0" applyNumberFormat="1" applyFont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" fontId="38" fillId="0" borderId="0" xfId="42" applyNumberFormat="1" applyFont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mpar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mpare" xfId="56"/>
    <cellStyle name="Normal_Raspc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5</xdr:row>
      <xdr:rowOff>133350</xdr:rowOff>
    </xdr:from>
    <xdr:to>
      <xdr:col>1</xdr:col>
      <xdr:colOff>2695575</xdr:colOff>
      <xdr:row>8</xdr:row>
      <xdr:rowOff>123825</xdr:rowOff>
    </xdr:to>
    <xdr:pic>
      <xdr:nvPicPr>
        <xdr:cNvPr id="1" name="Picture 1" descr="NEW Ont Trillium logo blk2007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5238750" y="12001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53.10546875" style="0" customWidth="1"/>
    <col min="2" max="2" width="35.99609375" style="0" customWidth="1"/>
  </cols>
  <sheetData>
    <row r="1" ht="15.75">
      <c r="A1" s="323" t="s">
        <v>229</v>
      </c>
    </row>
    <row r="2" spans="1:7" ht="23.25">
      <c r="A2" s="88" t="s">
        <v>219</v>
      </c>
      <c r="B2" s="89"/>
      <c r="C2" s="14"/>
      <c r="D2" s="14"/>
      <c r="E2" s="14"/>
      <c r="F2" s="14"/>
      <c r="G2" s="14"/>
    </row>
    <row r="3" ht="15">
      <c r="A3" s="101"/>
    </row>
    <row r="4" ht="15">
      <c r="A4" s="102"/>
    </row>
    <row r="5" ht="15">
      <c r="A5" s="103"/>
    </row>
    <row r="6" ht="15">
      <c r="A6" s="103"/>
    </row>
    <row r="7" ht="15">
      <c r="A7" s="103"/>
    </row>
    <row r="8" ht="15">
      <c r="A8" s="103"/>
    </row>
    <row r="9" ht="15">
      <c r="A9" s="103"/>
    </row>
    <row r="10" ht="15">
      <c r="A10" s="103"/>
    </row>
    <row r="11" ht="15">
      <c r="A11" s="103"/>
    </row>
    <row r="12" ht="15">
      <c r="A12" s="103"/>
    </row>
    <row r="13" ht="15">
      <c r="A13" s="103"/>
    </row>
    <row r="14" ht="9.75" customHeight="1">
      <c r="A14" s="104"/>
    </row>
    <row r="15" spans="1:2" ht="46.5" customHeight="1">
      <c r="A15" s="105" t="s">
        <v>221</v>
      </c>
      <c r="B15" s="91"/>
    </row>
    <row r="16" ht="15">
      <c r="A16" s="101"/>
    </row>
    <row r="17" ht="15.75">
      <c r="A17" s="90" t="s">
        <v>220</v>
      </c>
    </row>
    <row r="18" ht="12.75" customHeight="1">
      <c r="A18" s="106" t="s">
        <v>217</v>
      </c>
    </row>
    <row r="19" ht="12" customHeight="1">
      <c r="A19" s="106" t="s">
        <v>218</v>
      </c>
    </row>
    <row r="20" spans="1:2" ht="10.5" customHeight="1">
      <c r="A20" s="106" t="s">
        <v>222</v>
      </c>
      <c r="B20" s="86"/>
    </row>
    <row r="21" ht="9.75" customHeight="1">
      <c r="A21" s="101"/>
    </row>
    <row r="22" ht="15">
      <c r="A22" s="107">
        <v>36861</v>
      </c>
    </row>
    <row r="23" ht="15">
      <c r="A23" s="87"/>
    </row>
  </sheetData>
  <sheetProtection/>
  <printOptions/>
  <pageMargins left="0.75" right="0.43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48.88671875" style="0" customWidth="1"/>
    <col min="2" max="2" width="10.21484375" style="0" customWidth="1"/>
    <col min="3" max="3" width="10.3359375" style="0" customWidth="1"/>
    <col min="4" max="4" width="10.21484375" style="0" customWidth="1"/>
    <col min="5" max="5" width="10.3359375" style="0" customWidth="1"/>
  </cols>
  <sheetData>
    <row r="1" spans="1:5" ht="30.75">
      <c r="A1" s="93" t="s">
        <v>10</v>
      </c>
      <c r="B1" s="92"/>
      <c r="C1" s="92"/>
      <c r="D1" s="92"/>
      <c r="E1" s="92"/>
    </row>
    <row r="2" spans="1:5" ht="15.75">
      <c r="A2" s="101"/>
      <c r="B2" s="108" t="s">
        <v>213</v>
      </c>
      <c r="C2" s="108" t="s">
        <v>214</v>
      </c>
      <c r="D2" s="108" t="s">
        <v>215</v>
      </c>
      <c r="E2" s="108" t="s">
        <v>216</v>
      </c>
    </row>
    <row r="3" spans="1:5" ht="15">
      <c r="A3" s="101" t="s">
        <v>0</v>
      </c>
      <c r="B3" s="109">
        <v>2418</v>
      </c>
      <c r="C3" s="109">
        <v>100</v>
      </c>
      <c r="D3" s="109">
        <v>40</v>
      </c>
      <c r="E3" s="109">
        <v>20</v>
      </c>
    </row>
    <row r="4" spans="1:5" ht="15">
      <c r="A4" s="101" t="s">
        <v>1</v>
      </c>
      <c r="B4" s="109">
        <v>15000</v>
      </c>
      <c r="C4" s="109">
        <v>1200</v>
      </c>
      <c r="D4" s="109">
        <v>1200</v>
      </c>
      <c r="E4" s="109">
        <v>1200</v>
      </c>
    </row>
    <row r="5" spans="1:5" ht="15">
      <c r="A5" s="101" t="s">
        <v>4</v>
      </c>
      <c r="B5" s="110">
        <v>0.08</v>
      </c>
      <c r="C5" s="110">
        <v>0.08</v>
      </c>
      <c r="D5" s="110">
        <v>0.05</v>
      </c>
      <c r="E5" s="110">
        <v>0.05</v>
      </c>
    </row>
    <row r="6" spans="1:5" ht="15">
      <c r="A6" s="101" t="s">
        <v>5</v>
      </c>
      <c r="B6" s="109">
        <v>12</v>
      </c>
      <c r="C6" s="109">
        <v>10</v>
      </c>
      <c r="D6" s="109">
        <v>10</v>
      </c>
      <c r="E6" s="109">
        <v>10</v>
      </c>
    </row>
    <row r="7" spans="1:5" ht="15">
      <c r="A7" s="101" t="s">
        <v>2</v>
      </c>
      <c r="B7" s="110">
        <v>0.03</v>
      </c>
      <c r="C7" s="110">
        <v>0.03</v>
      </c>
      <c r="D7" s="110">
        <v>0.03</v>
      </c>
      <c r="E7" s="110">
        <v>0.03</v>
      </c>
    </row>
    <row r="8" spans="1:6" ht="15.75">
      <c r="A8" s="2" t="s">
        <v>11</v>
      </c>
      <c r="B8" s="109"/>
      <c r="C8" s="109"/>
      <c r="D8" s="109"/>
      <c r="E8" s="109"/>
      <c r="F8" s="1"/>
    </row>
    <row r="9" spans="1:5" ht="15">
      <c r="A9" s="101" t="s">
        <v>3</v>
      </c>
      <c r="B9" s="110">
        <v>0.5</v>
      </c>
      <c r="C9" s="110">
        <v>0.5</v>
      </c>
      <c r="D9" s="110">
        <v>0.5</v>
      </c>
      <c r="E9" s="110">
        <v>0.5</v>
      </c>
    </row>
    <row r="10" spans="1:5" ht="15">
      <c r="A10" s="101" t="s">
        <v>6</v>
      </c>
      <c r="B10" s="110">
        <v>0.6666</v>
      </c>
      <c r="C10" s="110">
        <v>0.75</v>
      </c>
      <c r="D10" s="110">
        <v>0.75</v>
      </c>
      <c r="E10" s="110">
        <v>0.75</v>
      </c>
    </row>
    <row r="11" spans="1:5" ht="15">
      <c r="A11" s="101" t="s">
        <v>7</v>
      </c>
      <c r="B11" s="111">
        <f>B10*B9</f>
        <v>0.3333</v>
      </c>
      <c r="C11" s="111">
        <f>C10*C9</f>
        <v>0.375</v>
      </c>
      <c r="D11" s="111">
        <f>D10*D9</f>
        <v>0.375</v>
      </c>
      <c r="E11" s="111">
        <f>E10*E9</f>
        <v>0.375</v>
      </c>
    </row>
    <row r="12" spans="1:5" ht="15">
      <c r="A12" s="101"/>
      <c r="B12" s="101"/>
      <c r="C12" s="101"/>
      <c r="D12" s="101"/>
      <c r="E12" s="101"/>
    </row>
    <row r="13" spans="1:5" ht="15.75">
      <c r="A13" s="101" t="s">
        <v>21</v>
      </c>
      <c r="B13" s="112">
        <f>PV(B5,B6,-B3)</f>
        <v>18222.236644924913</v>
      </c>
      <c r="C13" s="112">
        <f>PV(C5,C6,-C3)</f>
        <v>671.0081398941446</v>
      </c>
      <c r="D13" s="112">
        <f>PV(D5,D6,-D3)</f>
        <v>308.8693971673925</v>
      </c>
      <c r="E13" s="112">
        <f>PV(E5,E6,-E3)</f>
        <v>154.43469858369625</v>
      </c>
    </row>
    <row r="14" spans="1:5" ht="15">
      <c r="A14" s="101" t="s">
        <v>12</v>
      </c>
      <c r="B14" s="113">
        <f>FV(B7,B6,,-B4)</f>
        <v>21386.41330269268</v>
      </c>
      <c r="C14" s="113">
        <f>FV(C7,C6,,-C4)</f>
        <v>1612.699655212946</v>
      </c>
      <c r="D14" s="113">
        <f>FV(D7,D6,,-D4)</f>
        <v>1612.699655212946</v>
      </c>
      <c r="E14" s="113">
        <f>FV(E7,E6,,-E4)</f>
        <v>1612.699655212946</v>
      </c>
    </row>
    <row r="15" spans="1:5" ht="15.75">
      <c r="A15" s="101" t="s">
        <v>19</v>
      </c>
      <c r="B15" s="112">
        <f>PV(B5,B6,,-B14)</f>
        <v>8492.838970588919</v>
      </c>
      <c r="C15" s="112">
        <f>PV(C5,C6,,-C14)</f>
        <v>746.9919785310522</v>
      </c>
      <c r="D15" s="112">
        <f>PV(D5,D6,,-D14)</f>
        <v>990.0576923158404</v>
      </c>
      <c r="E15" s="112">
        <f>PV(E5,E6,,-E14)</f>
        <v>990.0576923158404</v>
      </c>
    </row>
    <row r="16" spans="1:5" ht="15">
      <c r="A16" s="101" t="s">
        <v>8</v>
      </c>
      <c r="B16" s="113">
        <f>B14-B4</f>
        <v>6386.413302692679</v>
      </c>
      <c r="C16" s="113">
        <f>C14-C4</f>
        <v>412.699655212946</v>
      </c>
      <c r="D16" s="113">
        <f>D14-D4</f>
        <v>412.699655212946</v>
      </c>
      <c r="E16" s="113">
        <f>E14-E4</f>
        <v>412.699655212946</v>
      </c>
    </row>
    <row r="17" spans="1:5" ht="15">
      <c r="A17" s="101" t="s">
        <v>9</v>
      </c>
      <c r="B17" s="113">
        <f>PV(B5,B6,,-B16)</f>
        <v>2536.1325908990484</v>
      </c>
      <c r="C17" s="113">
        <f>PV(C5,C6,,-C16)</f>
        <v>191.159792829431</v>
      </c>
      <c r="D17" s="113">
        <f>PV(D5,D6,,-D16)</f>
        <v>253.36178806692928</v>
      </c>
      <c r="E17" s="113">
        <f>PV(E5,E6,,-E16)</f>
        <v>253.36178806692928</v>
      </c>
    </row>
    <row r="18" spans="1:5" ht="15.75">
      <c r="A18" s="101" t="s">
        <v>20</v>
      </c>
      <c r="B18" s="112">
        <f>B17*B11</f>
        <v>845.2929925466528</v>
      </c>
      <c r="C18" s="112">
        <f>C17*C11</f>
        <v>71.68492231103663</v>
      </c>
      <c r="D18" s="112">
        <f>D17*D11</f>
        <v>95.01067052509848</v>
      </c>
      <c r="E18" s="112">
        <f>E17*E11</f>
        <v>95.01067052509848</v>
      </c>
    </row>
    <row r="19" spans="1:5" ht="15">
      <c r="A19" s="101"/>
      <c r="B19" s="113"/>
      <c r="C19" s="113"/>
      <c r="D19" s="113"/>
      <c r="E19" s="113"/>
    </row>
    <row r="20" spans="1:5" ht="15.75">
      <c r="A20" s="114" t="s">
        <v>223</v>
      </c>
      <c r="B20" s="115">
        <f>B13+B15-B18</f>
        <v>25869.782622967177</v>
      </c>
      <c r="C20" s="115">
        <f>C13+C15-C18</f>
        <v>1346.3151961141602</v>
      </c>
      <c r="D20" s="115">
        <f>D13+D15-D18</f>
        <v>1203.9164189581345</v>
      </c>
      <c r="E20" s="115">
        <f>E13+E15-E18</f>
        <v>1049.4817203744383</v>
      </c>
    </row>
    <row r="21" spans="1:5" ht="15.75">
      <c r="A21" s="116"/>
      <c r="B21" s="117"/>
      <c r="C21" s="117"/>
      <c r="D21" s="117"/>
      <c r="E21" s="117"/>
    </row>
    <row r="22" spans="1:5" ht="15.75">
      <c r="A22" s="116"/>
      <c r="B22" s="117"/>
      <c r="C22" s="117"/>
      <c r="D22" s="117"/>
      <c r="E22" s="117"/>
    </row>
    <row r="23" spans="1:5" ht="15.75">
      <c r="A23" s="2" t="s">
        <v>15</v>
      </c>
      <c r="B23" s="113"/>
      <c r="C23" s="113"/>
      <c r="D23" s="113"/>
      <c r="E23" s="118"/>
    </row>
    <row r="24" spans="1:5" ht="15">
      <c r="A24" s="101" t="s">
        <v>13</v>
      </c>
      <c r="B24" s="113">
        <f>B3/B5</f>
        <v>30225</v>
      </c>
      <c r="C24" s="113">
        <f>C3/C5</f>
        <v>1250</v>
      </c>
      <c r="D24" s="113">
        <f>D3/D5</f>
        <v>800</v>
      </c>
      <c r="E24" s="113">
        <f>E3/E5</f>
        <v>400</v>
      </c>
    </row>
    <row r="25" spans="1:5" ht="15">
      <c r="A25" s="101" t="s">
        <v>14</v>
      </c>
      <c r="B25" s="113">
        <f>B3/(B5-B7)</f>
        <v>48360</v>
      </c>
      <c r="C25" s="113">
        <f>C3/(C5-C7)</f>
        <v>2000</v>
      </c>
      <c r="D25" s="113">
        <f>D3/(D5-D7)</f>
        <v>1999.9999999999995</v>
      </c>
      <c r="E25" s="113">
        <f>E3/(E5-E7)</f>
        <v>999.9999999999998</v>
      </c>
    </row>
    <row r="26" spans="1:5" ht="15">
      <c r="A26" s="101"/>
      <c r="B26" s="101"/>
      <c r="C26" s="101"/>
      <c r="D26" s="101"/>
      <c r="E26" s="101"/>
    </row>
    <row r="27" spans="1:5" ht="15">
      <c r="A27" s="101"/>
      <c r="B27" s="101"/>
      <c r="C27" s="101"/>
      <c r="D27" s="101"/>
      <c r="E27" s="101"/>
    </row>
    <row r="28" spans="1:5" ht="15">
      <c r="A28" s="101"/>
      <c r="B28" s="101"/>
      <c r="C28" s="101"/>
      <c r="D28" s="101"/>
      <c r="E28" s="101"/>
    </row>
    <row r="29" spans="1:5" ht="15.75">
      <c r="A29" s="119" t="s">
        <v>224</v>
      </c>
      <c r="B29" s="101"/>
      <c r="C29" s="101"/>
      <c r="D29" s="101"/>
      <c r="E29" s="101"/>
    </row>
    <row r="30" spans="1:5" ht="15">
      <c r="A30" s="119" t="s">
        <v>16</v>
      </c>
      <c r="B30" s="101"/>
      <c r="C30" s="101"/>
      <c r="D30" s="101"/>
      <c r="E30" s="101"/>
    </row>
    <row r="31" spans="1:5" ht="15">
      <c r="A31" s="119" t="s">
        <v>17</v>
      </c>
      <c r="B31" s="101"/>
      <c r="C31" s="101"/>
      <c r="D31" s="101"/>
      <c r="E31" s="101"/>
    </row>
    <row r="32" spans="1:5" ht="15">
      <c r="A32" s="119" t="s">
        <v>18</v>
      </c>
      <c r="B32" s="101"/>
      <c r="C32" s="101"/>
      <c r="D32" s="101"/>
      <c r="E32" s="101"/>
    </row>
    <row r="33" spans="1:5" ht="15">
      <c r="A33" s="119" t="s">
        <v>225</v>
      </c>
      <c r="B33" s="101"/>
      <c r="C33" s="101"/>
      <c r="D33" s="101"/>
      <c r="E33" s="101"/>
    </row>
  </sheetData>
  <sheetProtection/>
  <printOptions/>
  <pageMargins left="0.29" right="0.34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47.21484375" style="0" customWidth="1"/>
    <col min="2" max="2" width="13.6640625" style="0" customWidth="1"/>
    <col min="3" max="3" width="11.5546875" style="0" customWidth="1"/>
    <col min="4" max="4" width="12.77734375" style="0" customWidth="1"/>
    <col min="5" max="5" width="12.4453125" style="0" customWidth="1"/>
    <col min="6" max="6" width="6.88671875" style="0" customWidth="1"/>
    <col min="7" max="7" width="20.21484375" style="0" customWidth="1"/>
    <col min="8" max="11" width="10.6640625" style="0" customWidth="1"/>
  </cols>
  <sheetData>
    <row r="1" spans="1:5" ht="31.5" customHeight="1">
      <c r="A1" s="242" t="s">
        <v>204</v>
      </c>
      <c r="B1" s="97"/>
      <c r="C1" s="97"/>
      <c r="D1" s="97"/>
      <c r="E1" s="5"/>
    </row>
    <row r="2" spans="1:5" ht="18" customHeight="1">
      <c r="A2" s="81" t="s">
        <v>208</v>
      </c>
      <c r="B2" s="84"/>
      <c r="C2" s="84"/>
      <c r="D2" s="84"/>
      <c r="E2" s="5"/>
    </row>
    <row r="3" spans="1:5" ht="15">
      <c r="A3" s="120" t="s">
        <v>159</v>
      </c>
      <c r="B3" s="109">
        <v>100</v>
      </c>
      <c r="C3" s="101"/>
      <c r="D3" s="101"/>
      <c r="E3" s="121"/>
    </row>
    <row r="4" spans="1:5" ht="15">
      <c r="A4" s="122" t="s">
        <v>160</v>
      </c>
      <c r="B4" s="109">
        <v>2000</v>
      </c>
      <c r="C4" s="101"/>
      <c r="D4" s="101"/>
      <c r="E4" s="121"/>
    </row>
    <row r="5" spans="1:5" ht="15">
      <c r="A5" s="122" t="s">
        <v>162</v>
      </c>
      <c r="B5" s="109">
        <f>B3*B4</f>
        <v>200000</v>
      </c>
      <c r="C5" s="101"/>
      <c r="D5" s="101"/>
      <c r="E5" s="121"/>
    </row>
    <row r="6" spans="1:5" ht="15.75">
      <c r="A6" s="120" t="s">
        <v>157</v>
      </c>
      <c r="B6" s="123">
        <v>25000</v>
      </c>
      <c r="C6" s="2" t="s">
        <v>163</v>
      </c>
      <c r="D6" s="101"/>
      <c r="E6" s="121"/>
    </row>
    <row r="7" spans="1:5" ht="15.75">
      <c r="A7" s="124" t="s">
        <v>164</v>
      </c>
      <c r="B7" s="125">
        <f>B5-B6</f>
        <v>175000</v>
      </c>
      <c r="C7" s="101"/>
      <c r="D7" s="101"/>
      <c r="E7" s="121"/>
    </row>
    <row r="8" spans="1:5" ht="15.75">
      <c r="A8" s="126" t="s">
        <v>165</v>
      </c>
      <c r="B8" s="127">
        <v>7</v>
      </c>
      <c r="C8" s="101"/>
      <c r="D8" s="101"/>
      <c r="E8" s="121"/>
    </row>
    <row r="9" spans="1:5" ht="15.75">
      <c r="A9" s="126" t="s">
        <v>166</v>
      </c>
      <c r="B9" s="128">
        <v>15</v>
      </c>
      <c r="C9" s="101"/>
      <c r="D9" s="101"/>
      <c r="E9" s="129"/>
    </row>
    <row r="10" spans="1:5" ht="15.75">
      <c r="A10" s="126" t="s">
        <v>167</v>
      </c>
      <c r="B10" s="128">
        <v>1</v>
      </c>
      <c r="C10" s="101"/>
      <c r="D10" s="101"/>
      <c r="E10" s="129"/>
    </row>
    <row r="11" spans="1:5" ht="15.75">
      <c r="A11" s="130" t="s">
        <v>41</v>
      </c>
      <c r="B11" s="131">
        <v>2</v>
      </c>
      <c r="C11" s="101"/>
      <c r="D11" s="101"/>
      <c r="E11" s="129"/>
    </row>
    <row r="12" spans="1:5" ht="15.75">
      <c r="A12" s="132">
        <f>IF(OR(B9&lt;1,),"WARNING: LOANS MUST BE AT LEAST ONE YEAR IN LENGTH",IF(OR(B10&lt;1),"WARNING: MINIMUM OF ONE  PAYMENT PER YEAR REQUIRED",IF(OR(B11&lt;1),"WARNING: AT LEAST ONE COMPOUND PER YEAR REQUIRED","")))</f>
      </c>
      <c r="B12" s="133"/>
      <c r="C12" s="101"/>
      <c r="D12" s="101"/>
      <c r="E12" s="129"/>
    </row>
    <row r="13" spans="1:5" ht="15.75">
      <c r="A13" s="134" t="s">
        <v>161</v>
      </c>
      <c r="B13" s="135">
        <f>IF(AND(AND(AND(AND(B9&gt;=1,B10&gt;=1),B11&gt;=1),B7&gt;=0),B8&gt;=0),IF(B8=0,B7/B9/B10,((1+(B8/(B11*100)))^(B11/B10)-1)/(1-((1/(1+((1+(B8/(B11*100)))^(B11/B10)-1))^(B10*B9))))*B7),#VALUE!)</f>
        <v>19362.990468693697</v>
      </c>
      <c r="C13" s="101"/>
      <c r="D13" s="101"/>
      <c r="E13" s="129"/>
    </row>
    <row r="14" spans="1:5" ht="15.75">
      <c r="A14" s="134" t="s">
        <v>180</v>
      </c>
      <c r="B14" s="135">
        <f>B13*B10*B9</f>
        <v>290444.85703040543</v>
      </c>
      <c r="C14" s="101"/>
      <c r="D14" s="101"/>
      <c r="E14" s="129"/>
    </row>
    <row r="15" spans="1:5" ht="15.75">
      <c r="A15" s="136" t="s">
        <v>185</v>
      </c>
      <c r="B15" s="101"/>
      <c r="C15" s="101"/>
      <c r="D15" s="101"/>
      <c r="E15" s="137"/>
    </row>
    <row r="16" spans="1:6" ht="15.75">
      <c r="A16" s="120" t="s">
        <v>170</v>
      </c>
      <c r="B16" s="138">
        <v>100000</v>
      </c>
      <c r="C16" s="101"/>
      <c r="D16" s="101"/>
      <c r="E16" s="139"/>
      <c r="F16" s="13"/>
    </row>
    <row r="17" spans="1:6" ht="15.75">
      <c r="A17" s="120" t="s">
        <v>171</v>
      </c>
      <c r="B17" s="138">
        <v>100000</v>
      </c>
      <c r="C17" s="101"/>
      <c r="D17" s="101"/>
      <c r="E17" s="139"/>
      <c r="F17" s="13"/>
    </row>
    <row r="18" spans="1:6" ht="15.75">
      <c r="A18" s="81" t="s">
        <v>59</v>
      </c>
      <c r="B18" s="140"/>
      <c r="C18" s="141"/>
      <c r="D18" s="141"/>
      <c r="E18" s="101"/>
      <c r="F18" s="13"/>
    </row>
    <row r="19" spans="1:6" ht="30">
      <c r="A19" s="142" t="s">
        <v>227</v>
      </c>
      <c r="B19" s="143">
        <v>250000</v>
      </c>
      <c r="C19" s="101"/>
      <c r="D19" s="101"/>
      <c r="E19" s="101"/>
      <c r="F19" s="13"/>
    </row>
    <row r="20" spans="1:6" ht="15">
      <c r="A20" s="120" t="s">
        <v>61</v>
      </c>
      <c r="B20" s="138">
        <v>50000</v>
      </c>
      <c r="C20" s="101"/>
      <c r="D20" s="101"/>
      <c r="E20" s="101"/>
      <c r="F20" s="13"/>
    </row>
    <row r="21" spans="1:6" ht="15.75">
      <c r="A21" s="144" t="s">
        <v>62</v>
      </c>
      <c r="B21" s="145">
        <f>B19+B20</f>
        <v>300000</v>
      </c>
      <c r="C21" s="2" t="s">
        <v>169</v>
      </c>
      <c r="D21" s="101"/>
      <c r="E21" s="101"/>
      <c r="F21" s="13"/>
    </row>
    <row r="22" spans="1:6" ht="15.75">
      <c r="A22" s="82" t="s">
        <v>63</v>
      </c>
      <c r="B22" s="146"/>
      <c r="C22" s="82"/>
      <c r="D22" s="82"/>
      <c r="E22" s="101"/>
      <c r="F22" s="13"/>
    </row>
    <row r="23" spans="1:6" ht="30">
      <c r="A23" s="147" t="s">
        <v>158</v>
      </c>
      <c r="B23" s="138">
        <v>180000</v>
      </c>
      <c r="C23" s="101"/>
      <c r="D23" s="101"/>
      <c r="E23" s="101"/>
      <c r="F23" s="13"/>
    </row>
    <row r="24" spans="1:6" ht="15">
      <c r="A24" s="120" t="s">
        <v>65</v>
      </c>
      <c r="B24" s="138">
        <v>30000</v>
      </c>
      <c r="C24" s="101"/>
      <c r="D24" s="101"/>
      <c r="E24" s="101"/>
      <c r="F24" s="13"/>
    </row>
    <row r="25" spans="1:6" ht="15">
      <c r="A25" s="120" t="s">
        <v>66</v>
      </c>
      <c r="B25" s="148">
        <f>B16*0.1</f>
        <v>10000</v>
      </c>
      <c r="C25" s="101"/>
      <c r="D25" s="101"/>
      <c r="E25" s="101"/>
      <c r="F25" s="13"/>
    </row>
    <row r="26" spans="1:6" ht="15">
      <c r="A26" s="120" t="s">
        <v>67</v>
      </c>
      <c r="B26" s="148">
        <f>B17*0.05</f>
        <v>5000</v>
      </c>
      <c r="C26" s="101"/>
      <c r="D26" s="101"/>
      <c r="E26" s="101"/>
      <c r="F26" s="13"/>
    </row>
    <row r="27" spans="1:6" ht="15">
      <c r="A27" s="120" t="s">
        <v>68</v>
      </c>
      <c r="B27" s="138">
        <v>30000</v>
      </c>
      <c r="C27" s="101"/>
      <c r="D27" s="101"/>
      <c r="E27" s="101"/>
      <c r="F27" s="13"/>
    </row>
    <row r="28" spans="1:6" ht="15">
      <c r="A28" s="120" t="s">
        <v>69</v>
      </c>
      <c r="B28" s="138">
        <v>5000</v>
      </c>
      <c r="C28" s="101"/>
      <c r="D28" s="101"/>
      <c r="E28" s="101"/>
      <c r="F28" s="13"/>
    </row>
    <row r="29" spans="1:6" ht="30">
      <c r="A29" s="147" t="s">
        <v>172</v>
      </c>
      <c r="B29" s="148">
        <v>0</v>
      </c>
      <c r="C29" s="101"/>
      <c r="D29" s="101"/>
      <c r="E29" s="101"/>
      <c r="F29" s="13"/>
    </row>
    <row r="30" spans="1:6" ht="15.75">
      <c r="A30" s="149" t="s">
        <v>70</v>
      </c>
      <c r="B30" s="150">
        <f>SUM(B23:B29)</f>
        <v>260000</v>
      </c>
      <c r="C30" s="116" t="s">
        <v>168</v>
      </c>
      <c r="D30" s="101"/>
      <c r="E30" s="101"/>
      <c r="F30" s="13"/>
    </row>
    <row r="31" spans="1:6" ht="15.75">
      <c r="A31" s="85" t="s">
        <v>184</v>
      </c>
      <c r="B31" s="150"/>
      <c r="C31" s="116"/>
      <c r="D31" s="104"/>
      <c r="E31" s="101"/>
      <c r="F31" s="13"/>
    </row>
    <row r="32" spans="1:6" ht="15.75">
      <c r="A32" s="151" t="s">
        <v>186</v>
      </c>
      <c r="B32" s="152">
        <v>0.25</v>
      </c>
      <c r="C32" s="116" t="s">
        <v>173</v>
      </c>
      <c r="D32" s="101"/>
      <c r="E32" s="101"/>
      <c r="F32" s="13"/>
    </row>
    <row r="33" spans="1:6" ht="15.75">
      <c r="A33" s="120" t="s">
        <v>187</v>
      </c>
      <c r="B33" s="148">
        <f>B21-B30</f>
        <v>40000</v>
      </c>
      <c r="C33" s="2" t="s">
        <v>174</v>
      </c>
      <c r="D33" s="101"/>
      <c r="E33" s="101"/>
      <c r="F33" s="13"/>
    </row>
    <row r="34" spans="1:6" ht="15.75">
      <c r="A34" s="144" t="s">
        <v>228</v>
      </c>
      <c r="B34" s="148">
        <f>B33*B32</f>
        <v>10000</v>
      </c>
      <c r="C34" s="2" t="s">
        <v>175</v>
      </c>
      <c r="D34" s="101"/>
      <c r="E34" s="101"/>
      <c r="F34" s="13"/>
    </row>
    <row r="35" spans="1:6" ht="15.75">
      <c r="A35" s="120" t="s">
        <v>188</v>
      </c>
      <c r="B35" s="148">
        <f>B33-B34</f>
        <v>30000</v>
      </c>
      <c r="C35" s="2" t="s">
        <v>176</v>
      </c>
      <c r="D35" s="101"/>
      <c r="E35" s="101"/>
      <c r="F35" s="13"/>
    </row>
    <row r="36" spans="1:6" ht="15.75">
      <c r="A36" s="153" t="s">
        <v>182</v>
      </c>
      <c r="B36" s="154">
        <f>B13</f>
        <v>19362.990468693697</v>
      </c>
      <c r="C36" s="2"/>
      <c r="D36" s="101"/>
      <c r="E36" s="101"/>
      <c r="F36" s="13"/>
    </row>
    <row r="37" spans="1:6" ht="15.75">
      <c r="A37" s="155" t="s">
        <v>226</v>
      </c>
      <c r="B37" s="156">
        <f>B35-B36</f>
        <v>10637.009531306303</v>
      </c>
      <c r="C37" s="2"/>
      <c r="D37" s="101"/>
      <c r="E37" s="101"/>
      <c r="F37" s="13"/>
    </row>
    <row r="38" spans="1:6" ht="15.75">
      <c r="A38" s="85"/>
      <c r="B38" s="157"/>
      <c r="C38" s="2"/>
      <c r="D38" s="101"/>
      <c r="E38" s="101"/>
      <c r="F38" s="13"/>
    </row>
    <row r="39" spans="1:6" ht="15.75">
      <c r="A39" s="79" t="s">
        <v>183</v>
      </c>
      <c r="B39" s="148"/>
      <c r="C39" s="2"/>
      <c r="D39" s="101"/>
      <c r="E39" s="101"/>
      <c r="F39" s="13"/>
    </row>
    <row r="40" spans="1:6" ht="15.75">
      <c r="A40" s="101" t="s">
        <v>181</v>
      </c>
      <c r="B40" s="158">
        <f>B13/B7</f>
        <v>0.11064565982110684</v>
      </c>
      <c r="C40" s="2" t="s">
        <v>177</v>
      </c>
      <c r="D40" s="101"/>
      <c r="E40" s="101"/>
      <c r="F40" s="13"/>
    </row>
    <row r="41" spans="1:6" ht="15.75">
      <c r="A41" s="159" t="s">
        <v>189</v>
      </c>
      <c r="B41" s="148">
        <f>B35/B40</f>
        <v>271135.8045901153</v>
      </c>
      <c r="C41" s="2" t="s">
        <v>178</v>
      </c>
      <c r="D41" s="101"/>
      <c r="E41" s="101"/>
      <c r="F41" s="13"/>
    </row>
    <row r="42" spans="1:6" ht="15.75">
      <c r="A42" s="159" t="s">
        <v>71</v>
      </c>
      <c r="B42" s="148">
        <f>B41+B6</f>
        <v>296135.8045901153</v>
      </c>
      <c r="C42" s="2" t="s">
        <v>179</v>
      </c>
      <c r="D42" s="101"/>
      <c r="E42" s="160"/>
      <c r="F42" s="13"/>
    </row>
    <row r="43" spans="1:5" ht="16.5" thickBot="1">
      <c r="A43" s="161"/>
      <c r="B43" s="152"/>
      <c r="C43" s="2"/>
      <c r="D43" s="101"/>
      <c r="E43" s="101"/>
    </row>
    <row r="44" spans="1:5" ht="16.5" customHeight="1" thickBot="1">
      <c r="A44" s="96" t="s">
        <v>192</v>
      </c>
      <c r="B44" s="94"/>
      <c r="C44" s="94"/>
      <c r="D44" s="95"/>
      <c r="E44" s="101"/>
    </row>
    <row r="45" spans="1:7" ht="15">
      <c r="A45" s="101"/>
      <c r="B45" s="101"/>
      <c r="C45" s="101"/>
      <c r="D45" s="101"/>
      <c r="E45" s="104"/>
      <c r="F45" s="14"/>
      <c r="G45" s="14"/>
    </row>
    <row r="46" spans="1:7" ht="15.75">
      <c r="A46" s="162"/>
      <c r="B46" s="163" t="s">
        <v>23</v>
      </c>
      <c r="C46" s="164"/>
      <c r="D46" s="165" t="s">
        <v>24</v>
      </c>
      <c r="E46" s="166"/>
      <c r="F46" s="15"/>
      <c r="G46" s="15"/>
    </row>
    <row r="47" spans="1:7" ht="15.75">
      <c r="A47" s="6" t="s">
        <v>28</v>
      </c>
      <c r="B47" s="167" t="s">
        <v>29</v>
      </c>
      <c r="C47" s="168" t="s">
        <v>190</v>
      </c>
      <c r="D47" s="167" t="s">
        <v>30</v>
      </c>
      <c r="E47" s="169" t="s">
        <v>31</v>
      </c>
      <c r="F47" s="15"/>
      <c r="G47" s="15"/>
    </row>
    <row r="48" spans="1:7" ht="15.75">
      <c r="A48" s="170" t="s">
        <v>33</v>
      </c>
      <c r="B48" s="171" t="s">
        <v>34</v>
      </c>
      <c r="C48" s="172" t="s">
        <v>191</v>
      </c>
      <c r="D48" s="171" t="s">
        <v>35</v>
      </c>
      <c r="E48" s="173" t="s">
        <v>36</v>
      </c>
      <c r="F48" s="15"/>
      <c r="G48" s="15"/>
    </row>
    <row r="49" spans="1:7" ht="15.75">
      <c r="A49" s="174" t="s">
        <v>38</v>
      </c>
      <c r="B49" s="175"/>
      <c r="C49" s="175"/>
      <c r="D49" s="175"/>
      <c r="E49" s="176"/>
      <c r="F49" s="14"/>
      <c r="G49" s="14"/>
    </row>
    <row r="50" spans="1:7" ht="15">
      <c r="A50" s="101"/>
      <c r="B50" s="177">
        <v>0</v>
      </c>
      <c r="C50" s="178">
        <v>0</v>
      </c>
      <c r="D50" s="179">
        <v>0</v>
      </c>
      <c r="E50" s="180">
        <f>B50*C50/100*D50/12</f>
        <v>0</v>
      </c>
      <c r="F50" s="14"/>
      <c r="G50" s="14"/>
    </row>
    <row r="51" spans="1:7" ht="15">
      <c r="A51" s="181"/>
      <c r="B51" s="177">
        <v>0</v>
      </c>
      <c r="C51" s="178">
        <v>0</v>
      </c>
      <c r="D51" s="179">
        <v>0</v>
      </c>
      <c r="E51" s="180">
        <f>B51*C51/100*D51/12</f>
        <v>0</v>
      </c>
      <c r="F51" s="14"/>
      <c r="G51" s="14"/>
    </row>
    <row r="52" spans="1:7" ht="15">
      <c r="A52" s="181" t="s">
        <v>42</v>
      </c>
      <c r="B52" s="177">
        <v>0</v>
      </c>
      <c r="C52" s="178">
        <v>0</v>
      </c>
      <c r="D52" s="179">
        <v>0</v>
      </c>
      <c r="E52" s="180">
        <f>B52*C52/100*D52/12</f>
        <v>0</v>
      </c>
      <c r="F52" s="14"/>
      <c r="G52" s="14"/>
    </row>
    <row r="53" spans="1:7" ht="15.75">
      <c r="A53" s="174" t="s">
        <v>43</v>
      </c>
      <c r="B53" s="182"/>
      <c r="C53" s="183"/>
      <c r="D53" s="184"/>
      <c r="E53" s="180"/>
      <c r="F53" s="14"/>
      <c r="G53" s="14"/>
    </row>
    <row r="54" spans="1:7" ht="15">
      <c r="A54" s="101"/>
      <c r="B54" s="177">
        <v>0</v>
      </c>
      <c r="C54" s="178">
        <v>0</v>
      </c>
      <c r="D54" s="179">
        <v>0</v>
      </c>
      <c r="E54" s="180">
        <f>B54*C54/100*D54/12</f>
        <v>0</v>
      </c>
      <c r="F54" s="14"/>
      <c r="G54" s="14"/>
    </row>
    <row r="55" spans="1:7" ht="15">
      <c r="A55" s="181" t="s">
        <v>42</v>
      </c>
      <c r="B55" s="177">
        <v>0</v>
      </c>
      <c r="C55" s="178">
        <v>0</v>
      </c>
      <c r="D55" s="179">
        <v>0</v>
      </c>
      <c r="E55" s="180">
        <f>B55*C55/100*D55/12</f>
        <v>0</v>
      </c>
      <c r="F55" s="14"/>
      <c r="G55" s="14"/>
    </row>
    <row r="56" spans="1:7" ht="15">
      <c r="A56" s="181" t="s">
        <v>42</v>
      </c>
      <c r="B56" s="177">
        <v>0</v>
      </c>
      <c r="C56" s="178">
        <v>0</v>
      </c>
      <c r="D56" s="179">
        <v>0</v>
      </c>
      <c r="E56" s="180">
        <f>B56*C56/100*D56/12</f>
        <v>0</v>
      </c>
      <c r="F56" s="14"/>
      <c r="G56" s="14"/>
    </row>
    <row r="57" spans="1:7" ht="15">
      <c r="A57" s="181" t="s">
        <v>42</v>
      </c>
      <c r="B57" s="177">
        <v>0</v>
      </c>
      <c r="C57" s="178">
        <v>0</v>
      </c>
      <c r="D57" s="179">
        <v>0</v>
      </c>
      <c r="E57" s="180">
        <f>B57*C57/100*D57/12</f>
        <v>0</v>
      </c>
      <c r="F57" s="14"/>
      <c r="G57" s="14"/>
    </row>
    <row r="58" spans="1:8" ht="15">
      <c r="A58" s="181" t="s">
        <v>42</v>
      </c>
      <c r="B58" s="177">
        <v>0</v>
      </c>
      <c r="C58" s="178">
        <v>0</v>
      </c>
      <c r="D58" s="179">
        <v>0</v>
      </c>
      <c r="E58" s="180">
        <f>B58*C58/100*D58/12</f>
        <v>0</v>
      </c>
      <c r="F58" s="14"/>
      <c r="G58" s="14"/>
      <c r="H58" s="15"/>
    </row>
    <row r="59" spans="1:8" ht="15.75">
      <c r="A59" s="185" t="s">
        <v>48</v>
      </c>
      <c r="B59" s="186">
        <f>SUM(B50:B58)</f>
        <v>0</v>
      </c>
      <c r="C59" s="187"/>
      <c r="D59" s="187"/>
      <c r="E59" s="188">
        <f>SUM(E50:E58)</f>
        <v>0</v>
      </c>
      <c r="F59" s="14"/>
      <c r="G59" s="14"/>
      <c r="H59" s="15"/>
    </row>
    <row r="60" spans="1:8" ht="15.75">
      <c r="A60" s="12" t="s">
        <v>49</v>
      </c>
      <c r="B60" s="189"/>
      <c r="C60" s="189"/>
      <c r="D60" s="189"/>
      <c r="E60" s="190"/>
      <c r="F60" s="14"/>
      <c r="G60" s="14"/>
      <c r="H60" s="15"/>
    </row>
    <row r="61" spans="1:8" ht="15.75">
      <c r="A61" s="191" t="s">
        <v>50</v>
      </c>
      <c r="B61" s="192" t="s">
        <v>51</v>
      </c>
      <c r="C61" s="193" t="s">
        <v>52</v>
      </c>
      <c r="D61" s="194" t="s">
        <v>53</v>
      </c>
      <c r="E61" s="195" t="s">
        <v>54</v>
      </c>
      <c r="F61" s="18"/>
      <c r="G61" s="19"/>
      <c r="H61" s="15"/>
    </row>
    <row r="62" spans="1:8" ht="15.75">
      <c r="A62" s="196"/>
      <c r="B62" s="193" t="s">
        <v>36</v>
      </c>
      <c r="C62" s="193" t="s">
        <v>55</v>
      </c>
      <c r="D62" s="197" t="s">
        <v>55</v>
      </c>
      <c r="E62" s="195" t="s">
        <v>56</v>
      </c>
      <c r="F62" s="18"/>
      <c r="G62" s="19"/>
      <c r="H62" s="15"/>
    </row>
    <row r="63" spans="1:8" ht="15.75">
      <c r="A63" s="174" t="s">
        <v>57</v>
      </c>
      <c r="B63" s="175"/>
      <c r="C63" s="175"/>
      <c r="D63" s="175"/>
      <c r="E63" s="176"/>
      <c r="F63" s="17"/>
      <c r="G63" s="17"/>
      <c r="H63" s="15"/>
    </row>
    <row r="64" spans="1:8" ht="15.75">
      <c r="A64" s="101"/>
      <c r="B64" s="198">
        <v>0</v>
      </c>
      <c r="C64" s="199">
        <v>0</v>
      </c>
      <c r="D64" s="200">
        <v>0</v>
      </c>
      <c r="E64" s="180">
        <f>C64+D64</f>
        <v>0</v>
      </c>
      <c r="F64" s="15"/>
      <c r="G64" s="15"/>
      <c r="H64" s="15"/>
    </row>
    <row r="65" spans="1:8" ht="15.75">
      <c r="A65" s="201" t="s">
        <v>42</v>
      </c>
      <c r="B65" s="198">
        <v>521</v>
      </c>
      <c r="C65" s="199">
        <v>0</v>
      </c>
      <c r="D65" s="200">
        <v>0</v>
      </c>
      <c r="E65" s="180">
        <f>C65+D65</f>
        <v>0</v>
      </c>
      <c r="F65" s="15"/>
      <c r="G65" s="15"/>
      <c r="H65" s="15"/>
    </row>
    <row r="66" spans="1:8" ht="15.75">
      <c r="A66" s="201" t="s">
        <v>42</v>
      </c>
      <c r="B66" s="198">
        <v>0</v>
      </c>
      <c r="C66" s="199">
        <v>0</v>
      </c>
      <c r="D66" s="200">
        <v>0</v>
      </c>
      <c r="E66" s="180">
        <f>C66+D66</f>
        <v>0</v>
      </c>
      <c r="F66" s="17"/>
      <c r="G66" s="15"/>
      <c r="H66" s="16"/>
    </row>
    <row r="67" spans="1:8" ht="15.75">
      <c r="A67" s="174" t="s">
        <v>58</v>
      </c>
      <c r="B67" s="202"/>
      <c r="C67" s="203"/>
      <c r="D67" s="200"/>
      <c r="E67" s="180"/>
      <c r="F67" s="14"/>
      <c r="G67" s="14"/>
      <c r="H67" s="14"/>
    </row>
    <row r="68" spans="1:8" ht="15.75">
      <c r="A68" s="101"/>
      <c r="B68" s="198">
        <v>0</v>
      </c>
      <c r="C68" s="199">
        <v>0</v>
      </c>
      <c r="D68" s="200">
        <v>0</v>
      </c>
      <c r="E68" s="180">
        <f>C68+D68</f>
        <v>0</v>
      </c>
      <c r="F68" s="14"/>
      <c r="G68" s="14"/>
      <c r="H68" s="14"/>
    </row>
    <row r="69" spans="1:8" ht="15.75">
      <c r="A69" s="201" t="s">
        <v>42</v>
      </c>
      <c r="B69" s="198">
        <v>0</v>
      </c>
      <c r="C69" s="199">
        <v>0</v>
      </c>
      <c r="D69" s="200">
        <v>0</v>
      </c>
      <c r="E69" s="180">
        <f>C69+D69</f>
        <v>0</v>
      </c>
      <c r="F69" s="14"/>
      <c r="G69" s="14"/>
      <c r="H69" s="14"/>
    </row>
    <row r="70" spans="1:8" ht="15.75">
      <c r="A70" s="181" t="s">
        <v>42</v>
      </c>
      <c r="B70" s="198">
        <v>0</v>
      </c>
      <c r="C70" s="199">
        <v>0</v>
      </c>
      <c r="D70" s="200">
        <v>0</v>
      </c>
      <c r="E70" s="180">
        <f>C70+D70</f>
        <v>0</v>
      </c>
      <c r="F70" s="14"/>
      <c r="G70" s="14"/>
      <c r="H70" s="14"/>
    </row>
    <row r="71" spans="1:8" ht="15.75">
      <c r="A71" s="181" t="s">
        <v>42</v>
      </c>
      <c r="B71" s="198">
        <v>0</v>
      </c>
      <c r="C71" s="199">
        <v>0</v>
      </c>
      <c r="D71" s="200">
        <v>0</v>
      </c>
      <c r="E71" s="180">
        <f>C71+D71</f>
        <v>0</v>
      </c>
      <c r="F71" s="14"/>
      <c r="G71" s="14"/>
      <c r="H71" s="14"/>
    </row>
    <row r="72" spans="1:8" ht="15.75">
      <c r="A72" s="204" t="s">
        <v>60</v>
      </c>
      <c r="B72" s="202"/>
      <c r="C72" s="203"/>
      <c r="D72" s="200"/>
      <c r="E72" s="180"/>
      <c r="F72" s="14"/>
      <c r="G72" s="14"/>
      <c r="H72" s="14"/>
    </row>
    <row r="73" spans="1:8" ht="15.75">
      <c r="A73" s="101"/>
      <c r="B73" s="198">
        <v>0</v>
      </c>
      <c r="C73" s="199">
        <v>0</v>
      </c>
      <c r="D73" s="200">
        <v>0</v>
      </c>
      <c r="E73" s="180">
        <f>C73+D73</f>
        <v>0</v>
      </c>
      <c r="F73" s="14"/>
      <c r="G73" s="14"/>
      <c r="H73" s="14"/>
    </row>
    <row r="74" spans="1:8" ht="15.75">
      <c r="A74" s="181" t="s">
        <v>42</v>
      </c>
      <c r="B74" s="198">
        <v>0</v>
      </c>
      <c r="C74" s="199">
        <v>0</v>
      </c>
      <c r="D74" s="200">
        <v>0</v>
      </c>
      <c r="E74" s="180">
        <f>C74+D74</f>
        <v>0</v>
      </c>
      <c r="F74" s="14"/>
      <c r="G74" s="14"/>
      <c r="H74" s="14"/>
    </row>
    <row r="75" spans="1:8" ht="15.75">
      <c r="A75" s="181" t="s">
        <v>42</v>
      </c>
      <c r="B75" s="205">
        <v>0</v>
      </c>
      <c r="C75" s="199">
        <v>0</v>
      </c>
      <c r="D75" s="200">
        <v>0</v>
      </c>
      <c r="E75" s="180">
        <f>C75+D75</f>
        <v>0</v>
      </c>
      <c r="F75" s="14"/>
      <c r="G75" s="14"/>
      <c r="H75" s="14"/>
    </row>
    <row r="76" spans="1:8" ht="15.75">
      <c r="A76" s="185" t="s">
        <v>64</v>
      </c>
      <c r="B76" s="187">
        <f>SUM(B64:B75)</f>
        <v>521</v>
      </c>
      <c r="C76" s="187">
        <f>SUM(C64:C75)</f>
        <v>0</v>
      </c>
      <c r="D76" s="187">
        <f>SUM(D64:D75)</f>
        <v>0</v>
      </c>
      <c r="E76" s="188">
        <f>SUM(E64:E75)</f>
        <v>0</v>
      </c>
      <c r="F76" s="14"/>
      <c r="G76" s="14"/>
      <c r="H76" s="14"/>
    </row>
    <row r="77" spans="1:8" ht="15">
      <c r="A77" s="101"/>
      <c r="B77" s="101"/>
      <c r="C77" s="101"/>
      <c r="D77" s="101"/>
      <c r="E77" s="101"/>
      <c r="F77" s="14"/>
      <c r="G77" s="14"/>
      <c r="H77" s="14"/>
    </row>
    <row r="78" spans="1:8" ht="15">
      <c r="A78" s="101"/>
      <c r="B78" s="101"/>
      <c r="C78" s="101"/>
      <c r="D78" s="101"/>
      <c r="E78" s="101"/>
      <c r="F78" s="14"/>
      <c r="G78" s="14"/>
      <c r="H78" s="14"/>
    </row>
    <row r="79" spans="1:8" ht="15">
      <c r="A79" s="206" t="s">
        <v>22</v>
      </c>
      <c r="B79" s="207"/>
      <c r="C79" s="208"/>
      <c r="D79" s="209"/>
      <c r="E79" s="104"/>
      <c r="F79" s="14"/>
      <c r="G79" s="14"/>
      <c r="H79" s="14"/>
    </row>
    <row r="80" spans="1:8" ht="15.75">
      <c r="A80" s="210"/>
      <c r="B80" s="211" t="s">
        <v>25</v>
      </c>
      <c r="C80" s="212" t="s">
        <v>26</v>
      </c>
      <c r="D80" s="213" t="s">
        <v>27</v>
      </c>
      <c r="E80" s="104"/>
      <c r="F80" s="14"/>
      <c r="G80" s="14"/>
      <c r="H80" s="14"/>
    </row>
    <row r="81" spans="1:8" ht="15.75">
      <c r="A81" s="214" t="s">
        <v>32</v>
      </c>
      <c r="B81" s="215">
        <v>5000</v>
      </c>
      <c r="C81" s="216">
        <v>100000</v>
      </c>
      <c r="D81" s="217">
        <v>120000</v>
      </c>
      <c r="E81" s="104"/>
      <c r="F81" s="14"/>
      <c r="G81" s="14"/>
      <c r="H81" s="14"/>
    </row>
    <row r="82" spans="1:8" ht="15.75">
      <c r="A82" s="214" t="s">
        <v>37</v>
      </c>
      <c r="B82" s="218">
        <v>7</v>
      </c>
      <c r="C82" s="128">
        <v>12</v>
      </c>
      <c r="D82" s="219">
        <v>11.25</v>
      </c>
      <c r="E82" s="104"/>
      <c r="F82" s="14"/>
      <c r="G82" s="14"/>
      <c r="H82" s="14"/>
    </row>
    <row r="83" spans="1:5" ht="15.75">
      <c r="A83" s="210" t="s">
        <v>39</v>
      </c>
      <c r="B83" s="220">
        <v>15</v>
      </c>
      <c r="C83" s="128">
        <v>15</v>
      </c>
      <c r="D83" s="219">
        <v>20</v>
      </c>
      <c r="E83" s="101"/>
    </row>
    <row r="84" spans="1:5" ht="15.75">
      <c r="A84" s="210" t="s">
        <v>40</v>
      </c>
      <c r="B84" s="220">
        <v>1</v>
      </c>
      <c r="C84" s="128">
        <v>12</v>
      </c>
      <c r="D84" s="219">
        <v>12</v>
      </c>
      <c r="E84" s="101"/>
    </row>
    <row r="85" spans="1:5" ht="15.75">
      <c r="A85" s="221" t="s">
        <v>41</v>
      </c>
      <c r="B85" s="222">
        <v>1</v>
      </c>
      <c r="C85" s="128">
        <v>2</v>
      </c>
      <c r="D85" s="219">
        <v>2</v>
      </c>
      <c r="E85" s="101"/>
    </row>
    <row r="86" spans="1:5" ht="15.75">
      <c r="A86" s="223">
        <f>IF(OR(OR(B83&lt;1,C83&lt;1),D83&lt;1),"WARNING: LOANS MUST BE AT LEAST ONE YEAR IN LENGTH",IF(OR(OR(B84&lt;1,C84&lt;1),D84&lt;1),"WARNING: MINIMUM OF ONE  PAYMENT PER YEAR REQUIRED",IF(OR(OR(B85&lt;1,C85&lt;1),D85&lt;1),"WARNING: AT LEAST ONE COMPOUND PER YEAR REQUIRED","")))</f>
      </c>
      <c r="B86" s="224"/>
      <c r="C86" s="225"/>
      <c r="D86" s="226"/>
      <c r="E86" s="101"/>
    </row>
    <row r="87" spans="1:5" ht="15.75">
      <c r="A87" s="227" t="s">
        <v>44</v>
      </c>
      <c r="B87" s="228">
        <f>IF(AND(AND(AND(AND(B83&gt;=1,B84&gt;=1),B85&gt;=1),B81&gt;=0),B82&gt;=0),IF(B82=0,B81/B83/B84,((1+(B82/(B85*100)))^(B85/B84)-1)/(1-((1/(1+((1+(B82/(B85*100)))^(B85/B84)-1))^(B84*B83))))*B81),#VALUE!)</f>
        <v>548.9731235050331</v>
      </c>
      <c r="C87" s="135">
        <f>IF(AND(AND(AND(AND(C83&gt;=1,C84&gt;=1),C85&gt;=1),C81&gt;=0),C82&gt;=0),IF(C82=0,C81/C83/C84,((1+(C82/(C85*100)))^(C85/C84)-1)/(1-((1/(1+((1+(C82/(C85*100)))^(C85/C84)-1))^(C84*C83))))*C81),#VALUE!)</f>
        <v>1181.6096242895492</v>
      </c>
      <c r="D87" s="229">
        <f>IF(AND(AND(AND(AND(D83&gt;=1,D84&gt;=1),D85&gt;=1),D81&gt;=0),D82&gt;=0),IF(D82=0,D81/D83/D84,((1+(D82/(D85*100)))^(D85/D84)-1)/(1-((1/(1+((1+(D82/(D85*100)))^(D85/D84)-1))^(D84*D83))))*D81),#VALUE!)</f>
        <v>1238.2214878996447</v>
      </c>
      <c r="E87" s="101"/>
    </row>
    <row r="88" spans="1:5" ht="15.75">
      <c r="A88" s="230" t="s">
        <v>45</v>
      </c>
      <c r="B88" s="231">
        <f>B87*B83*B84-B81</f>
        <v>3234.596852575496</v>
      </c>
      <c r="C88" s="232">
        <f>C87*C83*C84-C81</f>
        <v>112689.73237211883</v>
      </c>
      <c r="D88" s="233">
        <f>D87*D83*D84-D81</f>
        <v>177173.1570959147</v>
      </c>
      <c r="E88" s="101"/>
    </row>
    <row r="89" spans="1:5" ht="15.75">
      <c r="A89" s="234"/>
      <c r="B89" s="133">
        <f>B87*B83*B84</f>
        <v>8234.596852575496</v>
      </c>
      <c r="C89" s="133"/>
      <c r="D89" s="235"/>
      <c r="E89" s="101"/>
    </row>
    <row r="90" spans="1:5" ht="15.75">
      <c r="A90" s="227" t="s">
        <v>46</v>
      </c>
      <c r="B90" s="236"/>
      <c r="C90" s="237">
        <f>B87-C87</f>
        <v>-632.6365007845161</v>
      </c>
      <c r="D90" s="238">
        <f>B87-D87</f>
        <v>-689.2483643946116</v>
      </c>
      <c r="E90" s="101"/>
    </row>
    <row r="91" spans="1:5" ht="15.75">
      <c r="A91" s="230" t="s">
        <v>47</v>
      </c>
      <c r="B91" s="239"/>
      <c r="C91" s="240">
        <f>B88-C88</f>
        <v>-109455.13551954333</v>
      </c>
      <c r="D91" s="241">
        <f>B88-D88</f>
        <v>-173938.56024333922</v>
      </c>
      <c r="E91" s="101"/>
    </row>
    <row r="93" ht="15">
      <c r="B93" s="32"/>
    </row>
  </sheetData>
  <sheetProtection/>
  <printOptions/>
  <pageMargins left="0.75" right="0.75" top="0.69" bottom="0.6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61">
      <selection activeCell="E11" sqref="E11"/>
    </sheetView>
  </sheetViews>
  <sheetFormatPr defaultColWidth="8.77734375" defaultRowHeight="15"/>
  <cols>
    <col min="1" max="1" width="60.21484375" style="23" customWidth="1"/>
    <col min="2" max="2" width="13.4453125" style="4" customWidth="1"/>
    <col min="3" max="5" width="13.3359375" style="4" customWidth="1"/>
    <col min="6" max="16384" width="8.77734375" style="4" customWidth="1"/>
  </cols>
  <sheetData>
    <row r="1" spans="1:5" s="22" customFormat="1" ht="23.25">
      <c r="A1" s="285" t="s">
        <v>96</v>
      </c>
      <c r="B1" s="21"/>
      <c r="C1" s="21"/>
      <c r="D1" s="21"/>
      <c r="E1" s="21"/>
    </row>
    <row r="2" spans="1:5" ht="15">
      <c r="A2" s="243" t="s">
        <v>97</v>
      </c>
      <c r="B2" s="109">
        <v>800</v>
      </c>
      <c r="C2" s="101"/>
      <c r="D2" s="101"/>
      <c r="E2" s="101"/>
    </row>
    <row r="3" spans="1:5" ht="15">
      <c r="A3" s="243" t="s">
        <v>98</v>
      </c>
      <c r="B3" s="109">
        <v>200</v>
      </c>
      <c r="C3" s="101"/>
      <c r="D3" s="101"/>
      <c r="E3" s="101"/>
    </row>
    <row r="4" spans="1:5" ht="15">
      <c r="A4" s="243" t="s">
        <v>99</v>
      </c>
      <c r="B4" s="244">
        <v>0.03</v>
      </c>
      <c r="C4" s="101"/>
      <c r="D4" s="101"/>
      <c r="E4" s="101"/>
    </row>
    <row r="5" spans="1:5" ht="15">
      <c r="A5" s="243" t="s">
        <v>100</v>
      </c>
      <c r="B5" s="123">
        <v>20000</v>
      </c>
      <c r="C5" s="101"/>
      <c r="D5" s="101"/>
      <c r="E5" s="101"/>
    </row>
    <row r="6" spans="1:5" ht="15">
      <c r="A6" s="243" t="s">
        <v>101</v>
      </c>
      <c r="B6" s="245">
        <v>5</v>
      </c>
      <c r="C6" s="101"/>
      <c r="D6" s="101"/>
      <c r="E6" s="101"/>
    </row>
    <row r="7" spans="1:5" ht="15">
      <c r="A7" s="243" t="s">
        <v>209</v>
      </c>
      <c r="B7" s="246">
        <v>2400</v>
      </c>
      <c r="C7" s="101"/>
      <c r="D7" s="101"/>
      <c r="E7" s="101"/>
    </row>
    <row r="8" spans="1:5" s="22" customFormat="1" ht="15.75">
      <c r="A8" s="247" t="s">
        <v>102</v>
      </c>
      <c r="B8" s="248"/>
      <c r="C8" s="2"/>
      <c r="D8" s="2"/>
      <c r="E8" s="2"/>
    </row>
    <row r="9" spans="1:5" ht="15">
      <c r="A9" s="243" t="s">
        <v>103</v>
      </c>
      <c r="B9" s="123">
        <v>25000</v>
      </c>
      <c r="C9" s="101"/>
      <c r="D9" s="101"/>
      <c r="E9" s="101"/>
    </row>
    <row r="10" spans="1:5" ht="15">
      <c r="A10" s="243" t="s">
        <v>104</v>
      </c>
      <c r="B10" s="123">
        <v>110000</v>
      </c>
      <c r="C10" s="101"/>
      <c r="D10" s="101"/>
      <c r="E10" s="101"/>
    </row>
    <row r="11" spans="1:5" ht="15">
      <c r="A11" s="243" t="s">
        <v>105</v>
      </c>
      <c r="B11" s="249">
        <v>0</v>
      </c>
      <c r="C11" s="101"/>
      <c r="D11" s="101"/>
      <c r="E11" s="101"/>
    </row>
    <row r="12" spans="1:5" ht="15">
      <c r="A12" s="243" t="s">
        <v>106</v>
      </c>
      <c r="B12" s="123">
        <v>15000</v>
      </c>
      <c r="C12" s="101"/>
      <c r="D12" s="101"/>
      <c r="E12" s="101"/>
    </row>
    <row r="13" spans="1:5" s="22" customFormat="1" ht="15.75">
      <c r="A13" s="247" t="s">
        <v>107</v>
      </c>
      <c r="B13" s="2"/>
      <c r="C13" s="2"/>
      <c r="D13" s="2"/>
      <c r="E13" s="2"/>
    </row>
    <row r="14" spans="1:5" ht="16.5" customHeight="1">
      <c r="A14" s="250" t="s">
        <v>108</v>
      </c>
      <c r="B14" s="250"/>
      <c r="C14" s="250"/>
      <c r="D14" s="250"/>
      <c r="E14" s="250"/>
    </row>
    <row r="15" spans="1:5" s="22" customFormat="1" ht="12.75" customHeight="1">
      <c r="A15" s="251" t="s">
        <v>109</v>
      </c>
      <c r="B15" s="252" t="s">
        <v>110</v>
      </c>
      <c r="C15" s="252" t="s">
        <v>111</v>
      </c>
      <c r="D15" s="252" t="s">
        <v>112</v>
      </c>
      <c r="E15" s="253" t="s">
        <v>113</v>
      </c>
    </row>
    <row r="16" spans="1:5" ht="15">
      <c r="A16" s="254" t="s">
        <v>193</v>
      </c>
      <c r="B16" s="109">
        <v>80</v>
      </c>
      <c r="C16" s="109">
        <v>120</v>
      </c>
      <c r="D16" s="255">
        <v>2.5</v>
      </c>
      <c r="E16" s="256">
        <f>B16*C16*D16</f>
        <v>24000</v>
      </c>
    </row>
    <row r="17" spans="1:5" ht="15">
      <c r="A17" s="254" t="s">
        <v>194</v>
      </c>
      <c r="B17" s="109">
        <v>60</v>
      </c>
      <c r="C17" s="109">
        <v>40</v>
      </c>
      <c r="D17" s="255">
        <v>6</v>
      </c>
      <c r="E17" s="256">
        <f>B17*C17*D17</f>
        <v>14400</v>
      </c>
    </row>
    <row r="18" spans="1:5" ht="15">
      <c r="A18" s="254" t="s">
        <v>114</v>
      </c>
      <c r="B18" s="109">
        <v>60</v>
      </c>
      <c r="C18" s="109">
        <v>35</v>
      </c>
      <c r="D18" s="255">
        <v>3</v>
      </c>
      <c r="E18" s="256">
        <f>B18*C18*D18</f>
        <v>6300</v>
      </c>
    </row>
    <row r="19" spans="1:5" ht="15">
      <c r="A19" s="254" t="s">
        <v>195</v>
      </c>
      <c r="B19" s="109">
        <v>0</v>
      </c>
      <c r="C19" s="109">
        <v>0</v>
      </c>
      <c r="D19" s="255">
        <v>0</v>
      </c>
      <c r="E19" s="256">
        <f>B19*C19*D19</f>
        <v>0</v>
      </c>
    </row>
    <row r="20" spans="1:5" ht="15">
      <c r="A20" s="254" t="s">
        <v>195</v>
      </c>
      <c r="B20" s="109">
        <v>0</v>
      </c>
      <c r="C20" s="109">
        <v>0</v>
      </c>
      <c r="D20" s="255">
        <v>0</v>
      </c>
      <c r="E20" s="256">
        <f>B20*C20*D20</f>
        <v>0</v>
      </c>
    </row>
    <row r="21" spans="1:5" ht="15">
      <c r="A21" s="243" t="s">
        <v>116</v>
      </c>
      <c r="B21" s="101">
        <f>SUM(B16:B20)</f>
        <v>200</v>
      </c>
      <c r="C21" s="101"/>
      <c r="D21" s="101"/>
      <c r="E21" s="101"/>
    </row>
    <row r="22" spans="1:5" ht="15">
      <c r="A22" s="243" t="s">
        <v>115</v>
      </c>
      <c r="B22" s="101"/>
      <c r="C22" s="101"/>
      <c r="D22" s="101"/>
      <c r="E22" s="257">
        <v>8000</v>
      </c>
    </row>
    <row r="23" spans="1:5" ht="15.75">
      <c r="A23" s="258" t="s">
        <v>196</v>
      </c>
      <c r="B23" s="119"/>
      <c r="C23" s="119"/>
      <c r="D23" s="119"/>
      <c r="E23" s="259">
        <f>SUM(E16+E17+E22)</f>
        <v>46400</v>
      </c>
    </row>
    <row r="24" spans="1:5" ht="15.75">
      <c r="A24" s="258" t="s">
        <v>197</v>
      </c>
      <c r="B24" s="119"/>
      <c r="C24" s="119"/>
      <c r="D24" s="119"/>
      <c r="E24" s="260">
        <f>E23/B21</f>
        <v>232</v>
      </c>
    </row>
    <row r="25" spans="1:5" s="22" customFormat="1" ht="15.75">
      <c r="A25" s="247" t="s">
        <v>117</v>
      </c>
      <c r="B25" s="2"/>
      <c r="C25" s="2"/>
      <c r="D25" s="2"/>
      <c r="E25" s="2"/>
    </row>
    <row r="26" spans="1:5" s="22" customFormat="1" ht="15.75">
      <c r="A26" s="247" t="s">
        <v>118</v>
      </c>
      <c r="B26" s="2"/>
      <c r="C26" s="2"/>
      <c r="D26" s="2"/>
      <c r="E26" s="2"/>
    </row>
    <row r="27" spans="1:5" ht="15">
      <c r="A27" s="243" t="s">
        <v>119</v>
      </c>
      <c r="B27" s="101"/>
      <c r="C27" s="123">
        <v>200000</v>
      </c>
      <c r="D27" s="101"/>
      <c r="E27" s="101"/>
    </row>
    <row r="28" spans="1:5" ht="15">
      <c r="A28" s="243" t="s">
        <v>120</v>
      </c>
      <c r="B28" s="101"/>
      <c r="C28" s="101"/>
      <c r="D28" s="101"/>
      <c r="E28" s="101"/>
    </row>
    <row r="29" spans="1:5" ht="15">
      <c r="A29" s="243" t="s">
        <v>121</v>
      </c>
      <c r="B29" s="123">
        <v>10000</v>
      </c>
      <c r="C29" s="101"/>
      <c r="D29" s="101"/>
      <c r="E29" s="101"/>
    </row>
    <row r="30" spans="1:5" ht="30">
      <c r="A30" s="261" t="s">
        <v>122</v>
      </c>
      <c r="B30" s="262">
        <v>0</v>
      </c>
      <c r="C30" s="101"/>
      <c r="D30" s="101"/>
      <c r="E30" s="101"/>
    </row>
    <row r="31" spans="1:5" ht="15">
      <c r="A31" s="243" t="s">
        <v>123</v>
      </c>
      <c r="B31" s="123">
        <v>4000</v>
      </c>
      <c r="C31" s="101"/>
      <c r="D31" s="101"/>
      <c r="E31" s="101"/>
    </row>
    <row r="32" spans="1:5" ht="15">
      <c r="A32" s="263" t="s">
        <v>124</v>
      </c>
      <c r="B32" s="264">
        <f>B29+B30+B31</f>
        <v>14000</v>
      </c>
      <c r="C32" s="101"/>
      <c r="D32" s="101"/>
      <c r="E32" s="101"/>
    </row>
    <row r="33" spans="1:5" ht="15">
      <c r="A33" s="265" t="s">
        <v>125</v>
      </c>
      <c r="B33" s="101"/>
      <c r="C33" s="264">
        <f>C27-B32</f>
        <v>186000</v>
      </c>
      <c r="D33" s="101"/>
      <c r="E33" s="101"/>
    </row>
    <row r="34" spans="1:5" ht="15">
      <c r="A34" s="243" t="s">
        <v>126</v>
      </c>
      <c r="B34" s="266">
        <f>C33/B2</f>
        <v>232.5</v>
      </c>
      <c r="C34" s="101"/>
      <c r="D34" s="101"/>
      <c r="E34" s="101"/>
    </row>
    <row r="35" spans="1:5" ht="30">
      <c r="A35" s="261" t="s">
        <v>127</v>
      </c>
      <c r="B35" s="262">
        <v>2</v>
      </c>
      <c r="C35" s="101"/>
      <c r="D35" s="101"/>
      <c r="E35" s="101"/>
    </row>
    <row r="36" spans="1:5" ht="15">
      <c r="A36" s="243"/>
      <c r="B36" s="101"/>
      <c r="C36" s="101"/>
      <c r="D36" s="101"/>
      <c r="E36" s="101"/>
    </row>
    <row r="37" spans="1:5" ht="15">
      <c r="A37" s="267" t="s">
        <v>128</v>
      </c>
      <c r="B37" s="141"/>
      <c r="C37" s="268">
        <f>B35+B34</f>
        <v>234.5</v>
      </c>
      <c r="D37" s="101"/>
      <c r="E37" s="101"/>
    </row>
    <row r="38" spans="1:5" ht="15">
      <c r="A38" s="243"/>
      <c r="B38" s="101"/>
      <c r="C38" s="101"/>
      <c r="D38" s="101"/>
      <c r="E38" s="101"/>
    </row>
    <row r="39" spans="1:5" s="22" customFormat="1" ht="15.75">
      <c r="A39" s="247" t="s">
        <v>129</v>
      </c>
      <c r="B39" s="2"/>
      <c r="C39" s="2"/>
      <c r="D39" s="2"/>
      <c r="E39" s="2"/>
    </row>
    <row r="40" spans="1:5" ht="15">
      <c r="A40" s="243" t="s">
        <v>130</v>
      </c>
      <c r="B40" s="101"/>
      <c r="C40" s="101"/>
      <c r="D40" s="101"/>
      <c r="E40" s="101"/>
    </row>
    <row r="41" spans="1:5" ht="15">
      <c r="A41" s="243" t="s">
        <v>210</v>
      </c>
      <c r="B41" s="110">
        <v>0.05</v>
      </c>
      <c r="C41" s="269">
        <f>(B9*B41)</f>
        <v>1250</v>
      </c>
      <c r="D41" s="101"/>
      <c r="E41" s="101"/>
    </row>
    <row r="42" spans="1:5" ht="15">
      <c r="A42" s="243" t="s">
        <v>211</v>
      </c>
      <c r="B42" s="110">
        <v>0.1</v>
      </c>
      <c r="C42" s="269">
        <f>+(B10*B42)</f>
        <v>11000</v>
      </c>
      <c r="D42" s="101"/>
      <c r="E42" s="101"/>
    </row>
    <row r="43" spans="1:5" ht="27" customHeight="1">
      <c r="A43" s="261" t="s">
        <v>212</v>
      </c>
      <c r="B43" s="110">
        <v>0.07</v>
      </c>
      <c r="C43" s="269">
        <f>(B9+B10)*B43</f>
        <v>9450</v>
      </c>
      <c r="D43" s="101"/>
      <c r="E43" s="101"/>
    </row>
    <row r="44" spans="1:5" ht="15">
      <c r="A44" s="243" t="s">
        <v>131</v>
      </c>
      <c r="B44" s="270">
        <f>+B5</f>
        <v>20000</v>
      </c>
      <c r="C44" s="271"/>
      <c r="D44" s="101"/>
      <c r="E44" s="101"/>
    </row>
    <row r="45" spans="1:5" ht="15.75">
      <c r="A45" s="247" t="s">
        <v>132</v>
      </c>
      <c r="B45" s="272"/>
      <c r="C45" s="273">
        <f>SUM(B41:B44)</f>
        <v>20000.22</v>
      </c>
      <c r="D45" s="101"/>
      <c r="E45" s="101"/>
    </row>
    <row r="46" spans="1:5" ht="15">
      <c r="A46" s="243"/>
      <c r="B46" s="101"/>
      <c r="C46" s="101"/>
      <c r="D46" s="101"/>
      <c r="E46" s="101"/>
    </row>
    <row r="47" spans="1:5" ht="15">
      <c r="A47" s="243" t="s">
        <v>133</v>
      </c>
      <c r="B47" s="101"/>
      <c r="C47" s="101"/>
      <c r="D47" s="101"/>
      <c r="E47" s="101"/>
    </row>
    <row r="48" spans="1:5" ht="30">
      <c r="A48" s="274" t="s">
        <v>134</v>
      </c>
      <c r="B48" s="110">
        <v>0.05</v>
      </c>
      <c r="C48" s="264">
        <f>B11*B48</f>
        <v>0</v>
      </c>
      <c r="D48" s="101"/>
      <c r="E48" s="101"/>
    </row>
    <row r="49" spans="1:5" ht="15">
      <c r="A49" s="274" t="s">
        <v>135</v>
      </c>
      <c r="B49" s="110">
        <v>0.1</v>
      </c>
      <c r="C49" s="264">
        <f>B12*B49</f>
        <v>1500</v>
      </c>
      <c r="D49" s="101"/>
      <c r="E49" s="101"/>
    </row>
    <row r="50" spans="1:5" ht="15">
      <c r="A50" s="243" t="s">
        <v>136</v>
      </c>
      <c r="B50" s="262">
        <v>2000</v>
      </c>
      <c r="C50" s="101"/>
      <c r="D50" s="101"/>
      <c r="E50" s="101"/>
    </row>
    <row r="51" spans="1:5" ht="15">
      <c r="A51" s="243" t="s">
        <v>137</v>
      </c>
      <c r="B51" s="101"/>
      <c r="C51" s="275">
        <f>SUM(B48:B50)</f>
        <v>2000.15</v>
      </c>
      <c r="D51" s="101"/>
      <c r="E51" s="101"/>
    </row>
    <row r="52" spans="1:5" ht="15.75">
      <c r="A52" s="247" t="s">
        <v>138</v>
      </c>
      <c r="B52" s="2"/>
      <c r="C52" s="276">
        <f>SUM(C45+C51)</f>
        <v>22000.370000000003</v>
      </c>
      <c r="D52" s="101"/>
      <c r="E52" s="101"/>
    </row>
    <row r="53" spans="1:5" ht="15">
      <c r="A53" s="243"/>
      <c r="B53" s="101"/>
      <c r="C53" s="101"/>
      <c r="D53" s="101"/>
      <c r="E53" s="101"/>
    </row>
    <row r="54" spans="1:5" ht="15">
      <c r="A54" s="243" t="s">
        <v>139</v>
      </c>
      <c r="B54" s="101"/>
      <c r="C54" s="101"/>
      <c r="D54" s="101"/>
      <c r="E54" s="101"/>
    </row>
    <row r="55" spans="1:5" ht="15">
      <c r="A55" s="277" t="s">
        <v>140</v>
      </c>
      <c r="B55" s="101"/>
      <c r="C55" s="266">
        <f>C52/(B2+B3)</f>
        <v>22.000370000000004</v>
      </c>
      <c r="D55" s="101"/>
      <c r="E55" s="101"/>
    </row>
    <row r="56" spans="1:5" ht="15">
      <c r="A56" s="243"/>
      <c r="B56" s="101"/>
      <c r="C56" s="101"/>
      <c r="D56" s="101"/>
      <c r="E56" s="101"/>
    </row>
    <row r="57" spans="1:5" s="22" customFormat="1" ht="15.75">
      <c r="A57" s="247" t="s">
        <v>141</v>
      </c>
      <c r="B57" s="2"/>
      <c r="C57" s="2"/>
      <c r="D57" s="2"/>
      <c r="E57" s="2"/>
    </row>
    <row r="58" spans="1:5" ht="15">
      <c r="A58" s="267" t="s">
        <v>142</v>
      </c>
      <c r="B58" s="141"/>
      <c r="C58" s="141"/>
      <c r="D58" s="101"/>
      <c r="E58" s="101"/>
    </row>
    <row r="59" spans="1:5" ht="15.75">
      <c r="A59" s="278" t="s">
        <v>143</v>
      </c>
      <c r="B59" s="141"/>
      <c r="C59" s="279">
        <f>C37+C55</f>
        <v>256.50037</v>
      </c>
      <c r="D59" s="101"/>
      <c r="E59" s="101"/>
    </row>
    <row r="60" spans="1:5" ht="15">
      <c r="A60" s="243"/>
      <c r="B60" s="101"/>
      <c r="C60" s="101"/>
      <c r="D60" s="101"/>
      <c r="E60" s="101"/>
    </row>
    <row r="61" spans="1:5" s="22" customFormat="1" ht="15.75">
      <c r="A61" s="247" t="s">
        <v>144</v>
      </c>
      <c r="B61" s="2"/>
      <c r="C61" s="2"/>
      <c r="D61" s="2"/>
      <c r="E61" s="2"/>
    </row>
    <row r="62" spans="1:5" ht="15">
      <c r="A62" s="243"/>
      <c r="B62" s="101"/>
      <c r="C62" s="101"/>
      <c r="D62" s="101"/>
      <c r="E62" s="101"/>
    </row>
    <row r="63" spans="1:5" ht="15">
      <c r="A63" s="243" t="s">
        <v>145</v>
      </c>
      <c r="B63" s="101"/>
      <c r="C63" s="101"/>
      <c r="D63" s="101"/>
      <c r="E63" s="101"/>
    </row>
    <row r="64" spans="1:5" ht="15.75">
      <c r="A64" s="265" t="s">
        <v>146</v>
      </c>
      <c r="B64" s="101"/>
      <c r="C64" s="280">
        <f>E24-C59</f>
        <v>-24.500369999999975</v>
      </c>
      <c r="D64" s="101"/>
      <c r="E64" s="101"/>
    </row>
    <row r="65" spans="1:5" ht="15">
      <c r="A65" s="243"/>
      <c r="B65" s="101"/>
      <c r="C65" s="101"/>
      <c r="D65" s="101"/>
      <c r="E65" s="101"/>
    </row>
    <row r="66" spans="1:5" ht="15.75">
      <c r="A66" s="247" t="s">
        <v>147</v>
      </c>
      <c r="B66" s="101"/>
      <c r="C66" s="101"/>
      <c r="D66" s="101"/>
      <c r="E66" s="101"/>
    </row>
    <row r="67" spans="1:5" ht="15">
      <c r="A67" s="243"/>
      <c r="B67" s="101"/>
      <c r="C67" s="101"/>
      <c r="D67" s="101"/>
      <c r="E67" s="101"/>
    </row>
    <row r="68" spans="1:5" ht="15">
      <c r="A68" s="281" t="s">
        <v>148</v>
      </c>
      <c r="B68" s="101"/>
      <c r="C68" s="101"/>
      <c r="D68" s="101"/>
      <c r="E68" s="101"/>
    </row>
    <row r="69" spans="1:5" ht="15.75">
      <c r="A69" s="265" t="s">
        <v>149</v>
      </c>
      <c r="B69" s="101"/>
      <c r="C69" s="282">
        <f>C64/B6</f>
        <v>-4.900073999999995</v>
      </c>
      <c r="D69" s="101" t="s">
        <v>150</v>
      </c>
      <c r="E69" s="101"/>
    </row>
    <row r="70" spans="1:5" ht="15">
      <c r="A70" s="243"/>
      <c r="B70" s="101"/>
      <c r="C70" s="101"/>
      <c r="D70" s="101"/>
      <c r="E70" s="101"/>
    </row>
    <row r="71" spans="1:5" ht="15">
      <c r="A71" s="281" t="s">
        <v>151</v>
      </c>
      <c r="B71" s="101"/>
      <c r="C71" s="101"/>
      <c r="D71" s="101"/>
      <c r="E71" s="101"/>
    </row>
    <row r="72" spans="1:5" ht="15.75">
      <c r="A72" s="265" t="s">
        <v>152</v>
      </c>
      <c r="B72" s="101"/>
      <c r="C72" s="282">
        <f>C64/(B6-B4)</f>
        <v>-4.929651911468808</v>
      </c>
      <c r="D72" s="101"/>
      <c r="E72" s="101"/>
    </row>
    <row r="73" spans="1:5" ht="15">
      <c r="A73" s="243"/>
      <c r="B73" s="101"/>
      <c r="C73" s="101"/>
      <c r="D73" s="101"/>
      <c r="E73" s="101"/>
    </row>
    <row r="74" spans="1:5" ht="15.75">
      <c r="A74" s="281" t="s">
        <v>153</v>
      </c>
      <c r="B74" s="101"/>
      <c r="C74" s="283">
        <f>B7</f>
        <v>2400</v>
      </c>
      <c r="D74" s="101"/>
      <c r="E74" s="101"/>
    </row>
    <row r="75" spans="1:5" ht="15">
      <c r="A75" s="243"/>
      <c r="B75" s="101"/>
      <c r="C75" s="101"/>
      <c r="D75" s="101"/>
      <c r="E75" s="101"/>
    </row>
    <row r="76" spans="1:5" ht="15">
      <c r="A76" s="243" t="s">
        <v>154</v>
      </c>
      <c r="B76" s="101"/>
      <c r="C76" s="101"/>
      <c r="D76" s="101"/>
      <c r="E76" s="101"/>
    </row>
    <row r="77" spans="1:5" ht="15">
      <c r="A77" s="243" t="s">
        <v>155</v>
      </c>
      <c r="B77" s="101"/>
      <c r="C77" s="284">
        <f>C74-C69</f>
        <v>2404.900074</v>
      </c>
      <c r="D77" s="101"/>
      <c r="E77" s="101"/>
    </row>
    <row r="78" spans="1:5" ht="15">
      <c r="A78" s="243" t="s">
        <v>156</v>
      </c>
      <c r="B78" s="101"/>
      <c r="C78" s="284">
        <f>C74-C72</f>
        <v>2404.9296519114687</v>
      </c>
      <c r="D78" s="101"/>
      <c r="E78" s="101"/>
    </row>
  </sheetData>
  <sheetProtection/>
  <printOptions/>
  <pageMargins left="0.75" right="0.6" top="1" bottom="1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87" zoomScaleNormal="87" zoomScalePageLayoutView="0" workbookViewId="0" topLeftCell="A19">
      <selection activeCell="A1" sqref="A1"/>
    </sheetView>
  </sheetViews>
  <sheetFormatPr defaultColWidth="9.21484375" defaultRowHeight="15"/>
  <cols>
    <col min="1" max="1" width="54.6640625" style="20" customWidth="1"/>
    <col min="2" max="2" width="12.10546875" style="20" customWidth="1"/>
    <col min="3" max="3" width="5.77734375" style="20" customWidth="1"/>
    <col min="4" max="4" width="12.5546875" style="20" customWidth="1"/>
    <col min="5" max="16384" width="9.21484375" style="20" customWidth="1"/>
  </cols>
  <sheetData>
    <row r="1" spans="1:4" ht="22.5">
      <c r="A1" s="35" t="s">
        <v>72</v>
      </c>
      <c r="D1" s="36" t="s">
        <v>74</v>
      </c>
    </row>
    <row r="2" spans="1:11" ht="15">
      <c r="A2" s="286" t="s">
        <v>73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>
      <c r="A4" s="288" t="s">
        <v>75</v>
      </c>
      <c r="B4" s="289">
        <v>7</v>
      </c>
      <c r="C4" s="287"/>
      <c r="D4" s="290" t="s">
        <v>76</v>
      </c>
      <c r="E4" s="291"/>
      <c r="F4" s="292"/>
      <c r="G4" s="293" t="s">
        <v>77</v>
      </c>
      <c r="H4" s="292"/>
      <c r="I4" s="292"/>
      <c r="J4" s="292"/>
      <c r="K4" s="294"/>
    </row>
    <row r="5" spans="1:11" ht="15.75">
      <c r="A5" s="288" t="s">
        <v>198</v>
      </c>
      <c r="B5" s="295">
        <v>100000</v>
      </c>
      <c r="C5" s="287"/>
      <c r="D5" s="296" t="s">
        <v>78</v>
      </c>
      <c r="E5" s="297">
        <f>F5-10</f>
        <v>170</v>
      </c>
      <c r="F5" s="298">
        <f>G5-10</f>
        <v>180</v>
      </c>
      <c r="G5" s="298">
        <f>H5-10</f>
        <v>190</v>
      </c>
      <c r="H5" s="298">
        <f>$B$10</f>
        <v>200</v>
      </c>
      <c r="I5" s="298">
        <f>H5+10</f>
        <v>210</v>
      </c>
      <c r="J5" s="298">
        <f>I5+10</f>
        <v>220</v>
      </c>
      <c r="K5" s="298">
        <f>J5+10</f>
        <v>230</v>
      </c>
    </row>
    <row r="6" spans="1:11" ht="15.75">
      <c r="A6" s="288" t="s">
        <v>79</v>
      </c>
      <c r="B6" s="289">
        <v>20</v>
      </c>
      <c r="C6" s="287"/>
      <c r="D6" s="298">
        <f>D7-100</f>
        <v>1600</v>
      </c>
      <c r="E6" s="299">
        <f aca="true" t="shared" si="0" ref="E6:K14">(+E$5-($B$8+$B$9))*($B$7/100)-PMT($B$4/100,$B$6,-($D6))</f>
        <v>-124.02868118920912</v>
      </c>
      <c r="F6" s="299">
        <f t="shared" si="0"/>
        <v>-114.02868118920912</v>
      </c>
      <c r="G6" s="299">
        <f t="shared" si="0"/>
        <v>-104.02868118920912</v>
      </c>
      <c r="H6" s="299">
        <f t="shared" si="0"/>
        <v>-94.02868118920912</v>
      </c>
      <c r="I6" s="299">
        <f t="shared" si="0"/>
        <v>-84.02868118920912</v>
      </c>
      <c r="J6" s="299">
        <f t="shared" si="0"/>
        <v>-74.02868118920912</v>
      </c>
      <c r="K6" s="299">
        <f t="shared" si="0"/>
        <v>-64.02868118920912</v>
      </c>
    </row>
    <row r="7" spans="1:11" ht="15.75">
      <c r="A7" s="288" t="s">
        <v>95</v>
      </c>
      <c r="B7" s="300">
        <v>100</v>
      </c>
      <c r="C7" s="287"/>
      <c r="D7" s="298">
        <f>D8-100</f>
        <v>1700</v>
      </c>
      <c r="E7" s="299">
        <f t="shared" si="0"/>
        <v>-133.46797376353467</v>
      </c>
      <c r="F7" s="299">
        <f t="shared" si="0"/>
        <v>-123.46797376353467</v>
      </c>
      <c r="G7" s="299">
        <f t="shared" si="0"/>
        <v>-113.46797376353467</v>
      </c>
      <c r="H7" s="299">
        <f t="shared" si="0"/>
        <v>-103.46797376353467</v>
      </c>
      <c r="I7" s="299">
        <f t="shared" si="0"/>
        <v>-93.46797376353467</v>
      </c>
      <c r="J7" s="299">
        <f t="shared" si="0"/>
        <v>-83.46797376353467</v>
      </c>
      <c r="K7" s="299">
        <f t="shared" si="0"/>
        <v>-73.46797376353467</v>
      </c>
    </row>
    <row r="8" spans="1:11" ht="15.75">
      <c r="A8" s="288" t="s">
        <v>80</v>
      </c>
      <c r="B8" s="301">
        <v>120</v>
      </c>
      <c r="C8" s="287"/>
      <c r="D8" s="298">
        <f>D9-100</f>
        <v>1800</v>
      </c>
      <c r="E8" s="299">
        <f t="shared" si="0"/>
        <v>-142.90726633786025</v>
      </c>
      <c r="F8" s="299">
        <f t="shared" si="0"/>
        <v>-132.90726633786025</v>
      </c>
      <c r="G8" s="299">
        <f t="shared" si="0"/>
        <v>-122.90726633786025</v>
      </c>
      <c r="H8" s="299">
        <f t="shared" si="0"/>
        <v>-112.90726633786025</v>
      </c>
      <c r="I8" s="299">
        <f t="shared" si="0"/>
        <v>-102.90726633786025</v>
      </c>
      <c r="J8" s="299">
        <f t="shared" si="0"/>
        <v>-92.90726633786025</v>
      </c>
      <c r="K8" s="299">
        <f t="shared" si="0"/>
        <v>-82.90726633786025</v>
      </c>
    </row>
    <row r="9" spans="1:11" ht="15.75">
      <c r="A9" s="288" t="s">
        <v>81</v>
      </c>
      <c r="B9" s="301">
        <v>23</v>
      </c>
      <c r="C9" s="287"/>
      <c r="D9" s="298">
        <f>D10-100</f>
        <v>1900</v>
      </c>
      <c r="E9" s="299">
        <f t="shared" si="0"/>
        <v>-152.34655891218583</v>
      </c>
      <c r="F9" s="299">
        <f t="shared" si="0"/>
        <v>-142.34655891218583</v>
      </c>
      <c r="G9" s="299">
        <f t="shared" si="0"/>
        <v>-132.34655891218583</v>
      </c>
      <c r="H9" s="299">
        <f t="shared" si="0"/>
        <v>-122.34655891218583</v>
      </c>
      <c r="I9" s="299">
        <f t="shared" si="0"/>
        <v>-112.34655891218583</v>
      </c>
      <c r="J9" s="299">
        <f t="shared" si="0"/>
        <v>-102.34655891218583</v>
      </c>
      <c r="K9" s="299">
        <f t="shared" si="0"/>
        <v>-92.34655891218583</v>
      </c>
    </row>
    <row r="10" spans="1:11" ht="15.75">
      <c r="A10" s="288" t="s">
        <v>82</v>
      </c>
      <c r="B10" s="301">
        <v>200</v>
      </c>
      <c r="C10" s="287"/>
      <c r="D10" s="298">
        <f>$B$12</f>
        <v>2000</v>
      </c>
      <c r="E10" s="299">
        <f t="shared" si="0"/>
        <v>-161.78585148651138</v>
      </c>
      <c r="F10" s="299">
        <f t="shared" si="0"/>
        <v>-151.78585148651138</v>
      </c>
      <c r="G10" s="299">
        <f t="shared" si="0"/>
        <v>-141.78585148651138</v>
      </c>
      <c r="H10" s="299">
        <f t="shared" si="0"/>
        <v>-131.78585148651138</v>
      </c>
      <c r="I10" s="299">
        <f t="shared" si="0"/>
        <v>-121.78585148651138</v>
      </c>
      <c r="J10" s="299">
        <f t="shared" si="0"/>
        <v>-111.78585148651138</v>
      </c>
      <c r="K10" s="299">
        <f t="shared" si="0"/>
        <v>-101.78585148651138</v>
      </c>
    </row>
    <row r="11" spans="1:11" ht="15.75">
      <c r="A11" s="288" t="s">
        <v>83</v>
      </c>
      <c r="B11" s="289">
        <v>100</v>
      </c>
      <c r="C11" s="287"/>
      <c r="D11" s="298">
        <f>D10+100</f>
        <v>2100</v>
      </c>
      <c r="E11" s="299">
        <f t="shared" si="0"/>
        <v>-171.22514406083695</v>
      </c>
      <c r="F11" s="299">
        <f t="shared" si="0"/>
        <v>-161.22514406083695</v>
      </c>
      <c r="G11" s="299">
        <f t="shared" si="0"/>
        <v>-151.22514406083695</v>
      </c>
      <c r="H11" s="299">
        <f t="shared" si="0"/>
        <v>-141.22514406083695</v>
      </c>
      <c r="I11" s="299">
        <f t="shared" si="0"/>
        <v>-131.22514406083695</v>
      </c>
      <c r="J11" s="299">
        <f t="shared" si="0"/>
        <v>-121.22514406083695</v>
      </c>
      <c r="K11" s="299">
        <f t="shared" si="0"/>
        <v>-111.22514406083695</v>
      </c>
    </row>
    <row r="12" spans="1:11" ht="15.75">
      <c r="A12" s="288" t="s">
        <v>84</v>
      </c>
      <c r="B12" s="301">
        <v>2000</v>
      </c>
      <c r="C12" s="287"/>
      <c r="D12" s="298">
        <f>D11+100</f>
        <v>2200</v>
      </c>
      <c r="E12" s="299">
        <f t="shared" si="0"/>
        <v>-180.66443663516253</v>
      </c>
      <c r="F12" s="299">
        <f t="shared" si="0"/>
        <v>-170.66443663516253</v>
      </c>
      <c r="G12" s="299">
        <f t="shared" si="0"/>
        <v>-160.66443663516253</v>
      </c>
      <c r="H12" s="299">
        <f t="shared" si="0"/>
        <v>-150.66443663516253</v>
      </c>
      <c r="I12" s="299">
        <f t="shared" si="0"/>
        <v>-140.66443663516253</v>
      </c>
      <c r="J12" s="299">
        <f t="shared" si="0"/>
        <v>-130.66443663516253</v>
      </c>
      <c r="K12" s="299">
        <f t="shared" si="0"/>
        <v>-120.66443663516253</v>
      </c>
    </row>
    <row r="13" spans="1:11" ht="15.75">
      <c r="A13" s="288" t="s">
        <v>85</v>
      </c>
      <c r="B13" s="302">
        <f>((($B$10-($B$8+$B$9))*$B$11)*($B$7/100)-PMT($B$4/100,$B$6,-($B$5)))</f>
        <v>-3739.292574325571</v>
      </c>
      <c r="C13" s="287"/>
      <c r="D13" s="298">
        <f>D12+100</f>
        <v>2300</v>
      </c>
      <c r="E13" s="299">
        <f t="shared" si="0"/>
        <v>-190.1037292094881</v>
      </c>
      <c r="F13" s="299">
        <f t="shared" si="0"/>
        <v>-180.1037292094881</v>
      </c>
      <c r="G13" s="299">
        <f t="shared" si="0"/>
        <v>-170.1037292094881</v>
      </c>
      <c r="H13" s="299">
        <f t="shared" si="0"/>
        <v>-160.1037292094881</v>
      </c>
      <c r="I13" s="299">
        <f t="shared" si="0"/>
        <v>-150.1037292094881</v>
      </c>
      <c r="J13" s="299">
        <f t="shared" si="0"/>
        <v>-140.1037292094881</v>
      </c>
      <c r="K13" s="299">
        <f t="shared" si="0"/>
        <v>-130.1037292094881</v>
      </c>
    </row>
    <row r="14" spans="1:11" ht="15.75">
      <c r="A14" s="288" t="s">
        <v>86</v>
      </c>
      <c r="B14" s="302">
        <f>(($B$10-($B$8+$B$9))*$B$11)*($B$7/100)-PMT($B$4/100,$B$6,-($B$11*$B$12))</f>
        <v>-13178.585148651142</v>
      </c>
      <c r="C14" s="287"/>
      <c r="D14" s="298">
        <f>D13+100</f>
        <v>2400</v>
      </c>
      <c r="E14" s="299">
        <f t="shared" si="0"/>
        <v>-199.54302178381366</v>
      </c>
      <c r="F14" s="299">
        <f t="shared" si="0"/>
        <v>-189.54302178381366</v>
      </c>
      <c r="G14" s="299">
        <f t="shared" si="0"/>
        <v>-179.54302178381366</v>
      </c>
      <c r="H14" s="299">
        <f t="shared" si="0"/>
        <v>-169.54302178381366</v>
      </c>
      <c r="I14" s="299">
        <f t="shared" si="0"/>
        <v>-159.54302178381366</v>
      </c>
      <c r="J14" s="299">
        <f t="shared" si="0"/>
        <v>-149.54302178381366</v>
      </c>
      <c r="K14" s="299">
        <f t="shared" si="0"/>
        <v>-139.54302178381366</v>
      </c>
    </row>
    <row r="15" spans="1:11" ht="15">
      <c r="A15" s="303" t="s">
        <v>87</v>
      </c>
      <c r="B15" s="304">
        <f>(($B$10-$B$8)*$B$11)*($B$7/100)-PMT($B$4/100,$B$6,-($B$5))</f>
        <v>-1439.292574325571</v>
      </c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1" ht="15">
      <c r="A16" s="305" t="s">
        <v>88</v>
      </c>
      <c r="B16" s="306"/>
      <c r="C16" s="287"/>
      <c r="D16" s="287" t="s">
        <v>89</v>
      </c>
      <c r="E16" s="287"/>
      <c r="F16" s="287"/>
      <c r="G16" s="287"/>
      <c r="H16" s="287"/>
      <c r="I16" s="287"/>
      <c r="J16" s="287"/>
      <c r="K16" s="287"/>
    </row>
    <row r="17" spans="1:11" ht="15">
      <c r="A17" s="287"/>
      <c r="B17" s="287"/>
      <c r="C17" s="287"/>
      <c r="D17" s="287"/>
      <c r="E17" s="307" t="s">
        <v>90</v>
      </c>
      <c r="F17" s="287"/>
      <c r="G17" s="287"/>
      <c r="H17" s="287"/>
      <c r="I17" s="287"/>
      <c r="J17" s="287"/>
      <c r="K17" s="287"/>
    </row>
    <row r="18" spans="1:11" ht="15">
      <c r="A18" s="287"/>
      <c r="B18" s="287"/>
      <c r="C18" s="287"/>
      <c r="D18" s="287"/>
      <c r="E18" s="287" t="s">
        <v>91</v>
      </c>
      <c r="F18" s="287"/>
      <c r="G18" s="287"/>
      <c r="H18" s="287"/>
      <c r="I18" s="287"/>
      <c r="J18" s="287"/>
      <c r="K18" s="287"/>
    </row>
    <row r="19" spans="1:11" ht="1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ht="15.75">
      <c r="A20" s="287"/>
      <c r="B20" s="287"/>
      <c r="C20" s="287"/>
      <c r="D20" s="36" t="s">
        <v>201</v>
      </c>
      <c r="E20" s="287"/>
      <c r="F20" s="287"/>
      <c r="G20" s="287"/>
      <c r="H20" s="287"/>
      <c r="I20" s="287"/>
      <c r="J20" s="287"/>
      <c r="K20" s="287"/>
    </row>
    <row r="21" spans="1:11" ht="1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15.75">
      <c r="A22" s="287"/>
      <c r="B22" s="287"/>
      <c r="C22" s="287"/>
      <c r="D22" s="308" t="s">
        <v>199</v>
      </c>
      <c r="E22" s="309"/>
      <c r="F22" s="309"/>
      <c r="G22" s="309"/>
      <c r="H22" s="309"/>
      <c r="I22" s="309"/>
      <c r="J22" s="309"/>
      <c r="K22" s="310"/>
    </row>
    <row r="23" spans="1:11" ht="15.75">
      <c r="A23" s="287"/>
      <c r="B23" s="287"/>
      <c r="C23" s="287"/>
      <c r="D23" s="311" t="s">
        <v>200</v>
      </c>
      <c r="E23" s="312"/>
      <c r="F23" s="312"/>
      <c r="G23" s="313" t="s">
        <v>77</v>
      </c>
      <c r="H23" s="312"/>
      <c r="I23" s="312"/>
      <c r="J23" s="312"/>
      <c r="K23" s="314"/>
    </row>
    <row r="24" spans="1:11" ht="15.75">
      <c r="A24" s="287"/>
      <c r="B24" s="287"/>
      <c r="C24" s="287"/>
      <c r="D24" s="315" t="s">
        <v>92</v>
      </c>
      <c r="E24" s="297">
        <f>F24-10</f>
        <v>170</v>
      </c>
      <c r="F24" s="298">
        <f>G24-10</f>
        <v>180</v>
      </c>
      <c r="G24" s="298">
        <f>H24-10</f>
        <v>190</v>
      </c>
      <c r="H24" s="298">
        <f>$B$10</f>
        <v>200</v>
      </c>
      <c r="I24" s="298">
        <f>H24+10</f>
        <v>210</v>
      </c>
      <c r="J24" s="298">
        <f>I24+10</f>
        <v>220</v>
      </c>
      <c r="K24" s="298">
        <f>J24+10</f>
        <v>230</v>
      </c>
    </row>
    <row r="25" spans="1:11" ht="15.75">
      <c r="A25" s="287"/>
      <c r="B25" s="287"/>
      <c r="C25" s="287"/>
      <c r="D25" s="298">
        <f>IF($D$28&gt;300,+D26-100,0)</f>
        <v>600</v>
      </c>
      <c r="E25" s="299">
        <f aca="true" t="shared" si="1" ref="E25:K33">(+E$5-$B$8)*($B$7/100)-PMT($B$4/100,$B$6,-($D25))</f>
        <v>-6.635755445953414</v>
      </c>
      <c r="F25" s="299">
        <f t="shared" si="1"/>
        <v>3.3642445540465857</v>
      </c>
      <c r="G25" s="299">
        <f t="shared" si="1"/>
        <v>13.364244554046586</v>
      </c>
      <c r="H25" s="299">
        <f t="shared" si="1"/>
        <v>23.364244554046586</v>
      </c>
      <c r="I25" s="299">
        <f t="shared" si="1"/>
        <v>33.364244554046586</v>
      </c>
      <c r="J25" s="299">
        <f t="shared" si="1"/>
        <v>43.364244554046586</v>
      </c>
      <c r="K25" s="299">
        <f t="shared" si="1"/>
        <v>53.364244554046586</v>
      </c>
    </row>
    <row r="26" spans="1:11" ht="15.75">
      <c r="A26" s="287"/>
      <c r="B26" s="287"/>
      <c r="C26" s="287"/>
      <c r="D26" s="298">
        <f>IF($D$28&gt;200,+D27-100,0)</f>
        <v>700</v>
      </c>
      <c r="E26" s="299">
        <f t="shared" si="1"/>
        <v>-16.075048020278984</v>
      </c>
      <c r="F26" s="299">
        <f t="shared" si="1"/>
        <v>-6.0750480202789845</v>
      </c>
      <c r="G26" s="299">
        <f t="shared" si="1"/>
        <v>3.9249519797210155</v>
      </c>
      <c r="H26" s="299">
        <f t="shared" si="1"/>
        <v>13.924951979721016</v>
      </c>
      <c r="I26" s="299">
        <f t="shared" si="1"/>
        <v>23.924951979721016</v>
      </c>
      <c r="J26" s="299">
        <f t="shared" si="1"/>
        <v>33.924951979721016</v>
      </c>
      <c r="K26" s="299">
        <f t="shared" si="1"/>
        <v>43.924951979721016</v>
      </c>
    </row>
    <row r="27" spans="1:11" ht="15.75">
      <c r="A27" s="287"/>
      <c r="B27" s="287"/>
      <c r="C27" s="287"/>
      <c r="D27" s="298">
        <f>IF(D28&gt;100,+D28-100,0)</f>
        <v>800</v>
      </c>
      <c r="E27" s="299">
        <f t="shared" si="1"/>
        <v>-25.514340594604562</v>
      </c>
      <c r="F27" s="299">
        <f t="shared" si="1"/>
        <v>-15.514340594604562</v>
      </c>
      <c r="G27" s="299">
        <f t="shared" si="1"/>
        <v>-5.514340594604562</v>
      </c>
      <c r="H27" s="299">
        <f t="shared" si="1"/>
        <v>4.485659405395438</v>
      </c>
      <c r="I27" s="299">
        <f t="shared" si="1"/>
        <v>14.485659405395438</v>
      </c>
      <c r="J27" s="299">
        <f t="shared" si="1"/>
        <v>24.485659405395438</v>
      </c>
      <c r="K27" s="299">
        <f t="shared" si="1"/>
        <v>34.48565940539544</v>
      </c>
    </row>
    <row r="28" spans="1:11" ht="15.75">
      <c r="A28" s="287"/>
      <c r="B28" s="287"/>
      <c r="C28" s="287"/>
      <c r="D28" s="298">
        <f>IF(D29&gt;0,D29-100,0)</f>
        <v>900</v>
      </c>
      <c r="E28" s="299">
        <f t="shared" si="1"/>
        <v>-34.953633168930125</v>
      </c>
      <c r="F28" s="299">
        <f t="shared" si="1"/>
        <v>-24.953633168930125</v>
      </c>
      <c r="G28" s="299">
        <f t="shared" si="1"/>
        <v>-14.953633168930125</v>
      </c>
      <c r="H28" s="299">
        <f t="shared" si="1"/>
        <v>-4.953633168930125</v>
      </c>
      <c r="I28" s="299">
        <f t="shared" si="1"/>
        <v>5.046366831069875</v>
      </c>
      <c r="J28" s="299">
        <f t="shared" si="1"/>
        <v>15.046366831069875</v>
      </c>
      <c r="K28" s="299">
        <f t="shared" si="1"/>
        <v>25.046366831069875</v>
      </c>
    </row>
    <row r="29" spans="1:11" ht="15.75">
      <c r="A29" s="287"/>
      <c r="B29" s="287"/>
      <c r="C29" s="287"/>
      <c r="D29" s="298">
        <f>$B$5/B11</f>
        <v>1000</v>
      </c>
      <c r="E29" s="299">
        <f t="shared" si="1"/>
        <v>-44.39292574325569</v>
      </c>
      <c r="F29" s="299">
        <f t="shared" si="1"/>
        <v>-34.39292574325569</v>
      </c>
      <c r="G29" s="299">
        <f t="shared" si="1"/>
        <v>-24.392925743255688</v>
      </c>
      <c r="H29" s="299">
        <f t="shared" si="1"/>
        <v>-14.392925743255688</v>
      </c>
      <c r="I29" s="299">
        <f t="shared" si="1"/>
        <v>-4.392925743255688</v>
      </c>
      <c r="J29" s="299">
        <f t="shared" si="1"/>
        <v>5.607074256744312</v>
      </c>
      <c r="K29" s="299">
        <f t="shared" si="1"/>
        <v>15.607074256744312</v>
      </c>
    </row>
    <row r="30" spans="1:11" ht="15.75">
      <c r="A30" s="287"/>
      <c r="B30" s="287"/>
      <c r="C30" s="287"/>
      <c r="D30" s="298">
        <f>D29+100</f>
        <v>1100</v>
      </c>
      <c r="E30" s="299">
        <f t="shared" si="1"/>
        <v>-53.832218317581265</v>
      </c>
      <c r="F30" s="299">
        <f t="shared" si="1"/>
        <v>-43.832218317581265</v>
      </c>
      <c r="G30" s="299">
        <f t="shared" si="1"/>
        <v>-33.832218317581265</v>
      </c>
      <c r="H30" s="299">
        <f t="shared" si="1"/>
        <v>-23.832218317581265</v>
      </c>
      <c r="I30" s="299">
        <f t="shared" si="1"/>
        <v>-13.832218317581265</v>
      </c>
      <c r="J30" s="299">
        <f t="shared" si="1"/>
        <v>-3.8322183175812654</v>
      </c>
      <c r="K30" s="299">
        <f t="shared" si="1"/>
        <v>6.167781682418735</v>
      </c>
    </row>
    <row r="31" spans="1:11" ht="15.75">
      <c r="A31" s="287"/>
      <c r="B31" s="287"/>
      <c r="C31" s="287"/>
      <c r="D31" s="298">
        <f>D30+100</f>
        <v>1200</v>
      </c>
      <c r="E31" s="299">
        <f t="shared" si="1"/>
        <v>-63.27151089190683</v>
      </c>
      <c r="F31" s="299">
        <f t="shared" si="1"/>
        <v>-53.27151089190683</v>
      </c>
      <c r="G31" s="299">
        <f t="shared" si="1"/>
        <v>-43.27151089190683</v>
      </c>
      <c r="H31" s="299">
        <f t="shared" si="1"/>
        <v>-33.27151089190683</v>
      </c>
      <c r="I31" s="299">
        <f t="shared" si="1"/>
        <v>-23.27151089190683</v>
      </c>
      <c r="J31" s="299">
        <f t="shared" si="1"/>
        <v>-13.271510891906829</v>
      </c>
      <c r="K31" s="299">
        <f t="shared" si="1"/>
        <v>-3.2715108919068285</v>
      </c>
    </row>
    <row r="32" spans="1:11" ht="15.75">
      <c r="A32" s="287"/>
      <c r="B32" s="287"/>
      <c r="C32" s="287"/>
      <c r="D32" s="298">
        <f>D31+100</f>
        <v>1300</v>
      </c>
      <c r="E32" s="299">
        <f t="shared" si="1"/>
        <v>-72.7108034662324</v>
      </c>
      <c r="F32" s="299">
        <f t="shared" si="1"/>
        <v>-62.710803466232406</v>
      </c>
      <c r="G32" s="299">
        <f t="shared" si="1"/>
        <v>-52.710803466232406</v>
      </c>
      <c r="H32" s="299">
        <f t="shared" si="1"/>
        <v>-42.710803466232406</v>
      </c>
      <c r="I32" s="299">
        <f t="shared" si="1"/>
        <v>-32.710803466232406</v>
      </c>
      <c r="J32" s="299">
        <f t="shared" si="1"/>
        <v>-22.710803466232406</v>
      </c>
      <c r="K32" s="299">
        <f t="shared" si="1"/>
        <v>-12.710803466232406</v>
      </c>
    </row>
    <row r="33" spans="1:11" ht="15.75">
      <c r="A33" s="287"/>
      <c r="B33" s="287"/>
      <c r="C33" s="287"/>
      <c r="D33" s="298">
        <f>D32+100</f>
        <v>1400</v>
      </c>
      <c r="E33" s="299">
        <f t="shared" si="1"/>
        <v>-82.15009604055797</v>
      </c>
      <c r="F33" s="299">
        <f t="shared" si="1"/>
        <v>-72.15009604055797</v>
      </c>
      <c r="G33" s="299">
        <f t="shared" si="1"/>
        <v>-62.15009604055797</v>
      </c>
      <c r="H33" s="299">
        <f t="shared" si="1"/>
        <v>-52.15009604055797</v>
      </c>
      <c r="I33" s="299">
        <f t="shared" si="1"/>
        <v>-42.15009604055797</v>
      </c>
      <c r="J33" s="299">
        <f t="shared" si="1"/>
        <v>-32.15009604055797</v>
      </c>
      <c r="K33" s="299">
        <f t="shared" si="1"/>
        <v>-22.15009604055797</v>
      </c>
    </row>
    <row r="34" spans="1:11" ht="15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</row>
    <row r="35" spans="1:11" ht="15">
      <c r="A35" s="287"/>
      <c r="B35" s="287"/>
      <c r="C35" s="287"/>
      <c r="D35" s="287" t="s">
        <v>93</v>
      </c>
      <c r="E35" s="287"/>
      <c r="F35" s="287"/>
      <c r="G35" s="287"/>
      <c r="H35" s="287"/>
      <c r="I35" s="287"/>
      <c r="J35" s="287"/>
      <c r="K35" s="287"/>
    </row>
    <row r="36" spans="1:11" ht="15">
      <c r="A36" s="287"/>
      <c r="B36" s="287"/>
      <c r="C36" s="287"/>
      <c r="D36" s="287"/>
      <c r="E36" s="307" t="s">
        <v>94</v>
      </c>
      <c r="F36" s="287"/>
      <c r="G36" s="287"/>
      <c r="H36" s="287"/>
      <c r="I36" s="287"/>
      <c r="J36" s="287"/>
      <c r="K36" s="287"/>
    </row>
    <row r="37" spans="1:11" ht="15">
      <c r="A37" s="287"/>
      <c r="B37" s="287"/>
      <c r="C37" s="287"/>
      <c r="D37" s="287"/>
      <c r="E37" s="287" t="s">
        <v>91</v>
      </c>
      <c r="F37" s="287"/>
      <c r="G37" s="287"/>
      <c r="H37" s="287"/>
      <c r="I37" s="287"/>
      <c r="J37" s="287"/>
      <c r="K37" s="287"/>
    </row>
  </sheetData>
  <sheetProtection/>
  <printOptions/>
  <pageMargins left="0.36" right="0.77" top="1" bottom="1" header="0.5" footer="0.5"/>
  <pageSetup horizontalDpi="600" verticalDpi="6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zoomScale="90" zoomScaleNormal="90" zoomScalePageLayoutView="0" workbookViewId="0" topLeftCell="A22">
      <selection activeCell="H38" sqref="H38"/>
    </sheetView>
  </sheetViews>
  <sheetFormatPr defaultColWidth="8.88671875" defaultRowHeight="15"/>
  <cols>
    <col min="1" max="1" width="41.3359375" style="0" customWidth="1"/>
    <col min="2" max="2" width="10.21484375" style="0" customWidth="1"/>
    <col min="3" max="3" width="7.10546875" style="0" customWidth="1"/>
    <col min="4" max="4" width="12.88671875" style="0" customWidth="1"/>
    <col min="5" max="5" width="5.21484375" style="0" customWidth="1"/>
    <col min="6" max="6" width="6.88671875" style="0" customWidth="1"/>
    <col min="7" max="7" width="20.21484375" style="0" customWidth="1"/>
    <col min="8" max="11" width="10.6640625" style="0" customWidth="1"/>
  </cols>
  <sheetData>
    <row r="1" spans="1:5" ht="57.75" customHeight="1">
      <c r="A1" s="100" t="s">
        <v>204</v>
      </c>
      <c r="B1" s="99"/>
      <c r="C1" s="99"/>
      <c r="D1" s="99"/>
      <c r="E1" s="99"/>
    </row>
    <row r="2" spans="1:5" ht="15.75" customHeight="1" thickBot="1">
      <c r="A2" s="83" t="s">
        <v>206</v>
      </c>
      <c r="B2" s="316" t="s">
        <v>202</v>
      </c>
      <c r="C2" s="317"/>
      <c r="D2" s="141" t="s">
        <v>203</v>
      </c>
      <c r="E2" s="121"/>
    </row>
    <row r="3" spans="1:5" ht="15.75" thickBot="1">
      <c r="A3" s="120" t="s">
        <v>159</v>
      </c>
      <c r="B3" s="138">
        <v>100</v>
      </c>
      <c r="C3" s="101"/>
      <c r="D3" s="318"/>
      <c r="E3" s="121"/>
    </row>
    <row r="4" spans="1:5" ht="15.75" thickBot="1">
      <c r="A4" s="122" t="s">
        <v>160</v>
      </c>
      <c r="B4" s="138">
        <v>2000</v>
      </c>
      <c r="C4" s="101"/>
      <c r="D4" s="318"/>
      <c r="E4" s="121"/>
    </row>
    <row r="5" spans="1:5" ht="15.75" thickBot="1">
      <c r="A5" s="122" t="s">
        <v>162</v>
      </c>
      <c r="B5" s="138">
        <f>B3*B4</f>
        <v>200000</v>
      </c>
      <c r="C5" s="101"/>
      <c r="D5" s="318"/>
      <c r="E5" s="121"/>
    </row>
    <row r="6" spans="1:5" ht="16.5" thickBot="1">
      <c r="A6" s="120" t="s">
        <v>157</v>
      </c>
      <c r="B6" s="123">
        <v>25000</v>
      </c>
      <c r="C6" s="2" t="s">
        <v>163</v>
      </c>
      <c r="D6" s="318"/>
      <c r="E6" s="2" t="s">
        <v>163</v>
      </c>
    </row>
    <row r="7" spans="1:5" ht="16.5" thickBot="1">
      <c r="A7" s="136" t="s">
        <v>185</v>
      </c>
      <c r="B7" s="101"/>
      <c r="C7" s="101"/>
      <c r="D7" s="101"/>
      <c r="E7" s="137"/>
    </row>
    <row r="8" spans="1:6" ht="16.5" thickBot="1">
      <c r="A8" s="120" t="s">
        <v>170</v>
      </c>
      <c r="B8" s="138">
        <v>100000</v>
      </c>
      <c r="C8" s="101"/>
      <c r="D8" s="318"/>
      <c r="E8" s="139"/>
      <c r="F8" s="13"/>
    </row>
    <row r="9" spans="1:6" ht="16.5" thickBot="1">
      <c r="A9" s="120" t="s">
        <v>171</v>
      </c>
      <c r="B9" s="138">
        <v>100000</v>
      </c>
      <c r="C9" s="101"/>
      <c r="D9" s="318"/>
      <c r="E9" s="139"/>
      <c r="F9" s="13"/>
    </row>
    <row r="10" spans="1:6" ht="15">
      <c r="A10" s="122"/>
      <c r="B10" s="109"/>
      <c r="C10" s="101"/>
      <c r="D10" s="101"/>
      <c r="E10" s="101"/>
      <c r="F10" s="13"/>
    </row>
    <row r="11" spans="1:6" ht="16.5" thickBot="1">
      <c r="A11" s="81" t="s">
        <v>59</v>
      </c>
      <c r="B11" s="140"/>
      <c r="C11" s="141"/>
      <c r="D11" s="141"/>
      <c r="E11" s="101"/>
      <c r="F11" s="13"/>
    </row>
    <row r="12" spans="1:6" ht="30.75" thickBot="1">
      <c r="A12" s="142" t="s">
        <v>227</v>
      </c>
      <c r="B12" s="143">
        <v>250000</v>
      </c>
      <c r="C12" s="101"/>
      <c r="D12" s="318"/>
      <c r="E12" s="101"/>
      <c r="F12" s="13"/>
    </row>
    <row r="13" spans="1:6" ht="15.75" thickBot="1">
      <c r="A13" s="120" t="s">
        <v>205</v>
      </c>
      <c r="B13" s="138">
        <v>50000</v>
      </c>
      <c r="C13" s="101"/>
      <c r="D13" s="319"/>
      <c r="E13" s="101"/>
      <c r="F13" s="13"/>
    </row>
    <row r="14" spans="1:6" ht="16.5" thickBot="1">
      <c r="A14" s="144" t="s">
        <v>62</v>
      </c>
      <c r="B14" s="145">
        <f>B12+B13</f>
        <v>300000</v>
      </c>
      <c r="C14" s="2" t="s">
        <v>169</v>
      </c>
      <c r="D14" s="318"/>
      <c r="E14" s="2" t="s">
        <v>169</v>
      </c>
      <c r="F14" s="13"/>
    </row>
    <row r="15" spans="1:6" ht="15">
      <c r="A15" s="101"/>
      <c r="B15" s="138"/>
      <c r="C15" s="101"/>
      <c r="D15" s="101"/>
      <c r="E15" s="101"/>
      <c r="F15" s="13"/>
    </row>
    <row r="16" spans="1:6" ht="16.5" thickBot="1">
      <c r="A16" s="82" t="s">
        <v>63</v>
      </c>
      <c r="B16" s="146"/>
      <c r="C16" s="82"/>
      <c r="D16" s="82"/>
      <c r="E16" s="101"/>
      <c r="F16" s="13"/>
    </row>
    <row r="17" spans="1:6" ht="30.75" thickBot="1">
      <c r="A17" s="147" t="s">
        <v>158</v>
      </c>
      <c r="B17" s="138">
        <v>180000</v>
      </c>
      <c r="C17" s="101"/>
      <c r="D17" s="318"/>
      <c r="E17" s="101"/>
      <c r="F17" s="13"/>
    </row>
    <row r="18" spans="1:6" ht="15.75" thickBot="1">
      <c r="A18" s="120" t="s">
        <v>65</v>
      </c>
      <c r="B18" s="138">
        <v>30000</v>
      </c>
      <c r="C18" s="101"/>
      <c r="D18" s="318"/>
      <c r="E18" s="101"/>
      <c r="F18" s="13"/>
    </row>
    <row r="19" spans="1:6" ht="15.75" thickBot="1">
      <c r="A19" s="120" t="s">
        <v>66</v>
      </c>
      <c r="B19" s="148">
        <f>B8*0.1</f>
        <v>10000</v>
      </c>
      <c r="C19" s="101"/>
      <c r="D19" s="318"/>
      <c r="E19" s="101"/>
      <c r="F19" s="13"/>
    </row>
    <row r="20" spans="1:6" ht="15.75" thickBot="1">
      <c r="A20" s="120" t="s">
        <v>67</v>
      </c>
      <c r="B20" s="148">
        <f>B9*0.05</f>
        <v>5000</v>
      </c>
      <c r="C20" s="101"/>
      <c r="D20" s="318"/>
      <c r="E20" s="101"/>
      <c r="F20" s="13"/>
    </row>
    <row r="21" spans="1:6" ht="15.75" thickBot="1">
      <c r="A21" s="120" t="s">
        <v>68</v>
      </c>
      <c r="B21" s="138">
        <v>30000</v>
      </c>
      <c r="C21" s="101"/>
      <c r="D21" s="318"/>
      <c r="E21" s="101"/>
      <c r="F21" s="13"/>
    </row>
    <row r="22" spans="1:6" ht="15.75" thickBot="1">
      <c r="A22" s="120" t="s">
        <v>69</v>
      </c>
      <c r="B22" s="138">
        <v>5000</v>
      </c>
      <c r="C22" s="101"/>
      <c r="D22" s="318"/>
      <c r="E22" s="101"/>
      <c r="F22" s="13"/>
    </row>
    <row r="23" spans="1:6" ht="30.75" thickBot="1">
      <c r="A23" s="147" t="s">
        <v>172</v>
      </c>
      <c r="B23" s="320">
        <v>0</v>
      </c>
      <c r="C23" s="101"/>
      <c r="D23" s="318"/>
      <c r="E23" s="101"/>
      <c r="F23" s="13"/>
    </row>
    <row r="24" spans="1:6" ht="16.5" thickBot="1">
      <c r="A24" s="149" t="s">
        <v>70</v>
      </c>
      <c r="B24" s="150">
        <f>SUM(B17:B23)</f>
        <v>260000</v>
      </c>
      <c r="C24" s="116" t="s">
        <v>168</v>
      </c>
      <c r="D24" s="321"/>
      <c r="E24" s="116" t="s">
        <v>168</v>
      </c>
      <c r="F24" s="13"/>
    </row>
    <row r="25" spans="1:6" ht="15.75">
      <c r="A25" s="149"/>
      <c r="B25" s="150"/>
      <c r="C25" s="116"/>
      <c r="D25" s="322"/>
      <c r="E25" s="116"/>
      <c r="F25" s="13"/>
    </row>
    <row r="26" spans="1:6" ht="16.5" thickBot="1">
      <c r="A26" s="81" t="s">
        <v>207</v>
      </c>
      <c r="B26" s="146"/>
      <c r="C26" s="82"/>
      <c r="D26" s="141"/>
      <c r="E26" s="116"/>
      <c r="F26" s="13"/>
    </row>
    <row r="27" spans="1:6" ht="16.5" thickBot="1">
      <c r="A27" s="151" t="s">
        <v>186</v>
      </c>
      <c r="B27" s="152">
        <v>0.25</v>
      </c>
      <c r="C27" s="116" t="s">
        <v>173</v>
      </c>
      <c r="D27" s="318"/>
      <c r="E27" s="116" t="s">
        <v>173</v>
      </c>
      <c r="F27" s="13"/>
    </row>
    <row r="28" spans="1:6" ht="16.5" thickBot="1">
      <c r="A28" s="120" t="s">
        <v>187</v>
      </c>
      <c r="B28" s="148">
        <f>B14-B24</f>
        <v>40000</v>
      </c>
      <c r="C28" s="2" t="s">
        <v>174</v>
      </c>
      <c r="D28" s="318"/>
      <c r="E28" s="2" t="s">
        <v>174</v>
      </c>
      <c r="F28" s="13"/>
    </row>
    <row r="29" spans="1:6" ht="16.5" thickBot="1">
      <c r="A29" s="144" t="s">
        <v>228</v>
      </c>
      <c r="B29" s="148">
        <f>B28*B27</f>
        <v>10000</v>
      </c>
      <c r="C29" s="2" t="s">
        <v>175</v>
      </c>
      <c r="D29" s="318"/>
      <c r="E29" s="2" t="s">
        <v>175</v>
      </c>
      <c r="F29" s="13"/>
    </row>
    <row r="30" spans="1:6" ht="16.5" thickBot="1">
      <c r="A30" s="120" t="s">
        <v>188</v>
      </c>
      <c r="B30" s="148">
        <f>B28-B29</f>
        <v>30000</v>
      </c>
      <c r="C30" s="2" t="s">
        <v>176</v>
      </c>
      <c r="D30" s="318"/>
      <c r="E30" s="2" t="s">
        <v>176</v>
      </c>
      <c r="F30" s="13"/>
    </row>
    <row r="31" spans="1:6" ht="15.75">
      <c r="A31" s="85"/>
      <c r="B31" s="157"/>
      <c r="C31" s="2"/>
      <c r="D31" s="101"/>
      <c r="E31" s="101"/>
      <c r="F31" s="13"/>
    </row>
    <row r="32" spans="1:6" ht="16.5" thickBot="1">
      <c r="A32" s="80" t="s">
        <v>183</v>
      </c>
      <c r="B32" s="148"/>
      <c r="C32" s="2"/>
      <c r="D32" s="101"/>
      <c r="E32" s="101"/>
      <c r="F32" s="13"/>
    </row>
    <row r="33" spans="1:6" ht="16.5" thickBot="1">
      <c r="A33" s="122" t="s">
        <v>181</v>
      </c>
      <c r="B33" s="158">
        <v>0.1098</v>
      </c>
      <c r="C33" s="2" t="s">
        <v>177</v>
      </c>
      <c r="D33" s="318"/>
      <c r="E33" s="2" t="s">
        <v>177</v>
      </c>
      <c r="F33" s="13"/>
    </row>
    <row r="34" spans="1:6" ht="16.5" thickBot="1">
      <c r="A34" s="120" t="s">
        <v>189</v>
      </c>
      <c r="B34" s="148">
        <f>B30/B33</f>
        <v>273224.043715847</v>
      </c>
      <c r="C34" s="2" t="s">
        <v>178</v>
      </c>
      <c r="D34" s="318"/>
      <c r="E34" s="2" t="s">
        <v>178</v>
      </c>
      <c r="F34" s="13"/>
    </row>
    <row r="35" spans="1:6" ht="16.5" thickBot="1">
      <c r="A35" s="120" t="s">
        <v>71</v>
      </c>
      <c r="B35" s="148">
        <f>B34+B6</f>
        <v>298224.043715847</v>
      </c>
      <c r="C35" s="2" t="s">
        <v>179</v>
      </c>
      <c r="D35" s="318"/>
      <c r="E35" s="2" t="s">
        <v>179</v>
      </c>
      <c r="F35" s="13"/>
    </row>
    <row r="36" spans="1:4" ht="15.75">
      <c r="A36" s="34"/>
      <c r="B36" s="33"/>
      <c r="C36" s="3"/>
      <c r="D36" s="4"/>
    </row>
    <row r="37" spans="1:4" ht="15.75">
      <c r="A37" s="34"/>
      <c r="B37" s="33"/>
      <c r="C37" s="3"/>
      <c r="D37" s="4"/>
    </row>
    <row r="38" spans="1:7" ht="15">
      <c r="A38" s="98"/>
      <c r="B38" s="98"/>
      <c r="C38" s="98"/>
      <c r="D38" s="98"/>
      <c r="E38" s="15"/>
      <c r="F38" s="14"/>
      <c r="G38" s="14"/>
    </row>
    <row r="39" spans="1:7" ht="20.25">
      <c r="A39" s="38"/>
      <c r="B39" s="39"/>
      <c r="C39" s="38"/>
      <c r="D39" s="40"/>
      <c r="E39" s="38"/>
      <c r="F39" s="15"/>
      <c r="G39" s="15"/>
    </row>
    <row r="40" spans="1:7" ht="15.75">
      <c r="A40" s="41"/>
      <c r="B40" s="42"/>
      <c r="C40" s="37"/>
      <c r="D40" s="42"/>
      <c r="E40" s="42"/>
      <c r="F40" s="15"/>
      <c r="G40" s="15"/>
    </row>
    <row r="41" spans="1:7" ht="15">
      <c r="A41" s="43"/>
      <c r="B41" s="42"/>
      <c r="C41" s="37"/>
      <c r="D41" s="42"/>
      <c r="E41" s="42"/>
      <c r="F41" s="15"/>
      <c r="G41" s="15"/>
    </row>
    <row r="42" spans="1:7" ht="15">
      <c r="A42" s="44"/>
      <c r="B42" s="38"/>
      <c r="C42" s="38"/>
      <c r="D42" s="38"/>
      <c r="E42" s="38"/>
      <c r="F42" s="14"/>
      <c r="G42" s="14"/>
    </row>
    <row r="43" spans="1:7" ht="15">
      <c r="A43" s="15"/>
      <c r="B43" s="45"/>
      <c r="C43" s="46"/>
      <c r="D43" s="47"/>
      <c r="E43" s="48"/>
      <c r="F43" s="14"/>
      <c r="G43" s="14"/>
    </row>
    <row r="44" spans="1:7" ht="15">
      <c r="A44" s="49"/>
      <c r="B44" s="45"/>
      <c r="C44" s="46"/>
      <c r="D44" s="47"/>
      <c r="E44" s="48"/>
      <c r="F44" s="14"/>
      <c r="G44" s="14"/>
    </row>
    <row r="45" spans="1:7" ht="15">
      <c r="A45" s="49"/>
      <c r="B45" s="45"/>
      <c r="C45" s="46"/>
      <c r="D45" s="47"/>
      <c r="E45" s="48"/>
      <c r="F45" s="14"/>
      <c r="G45" s="14"/>
    </row>
    <row r="46" spans="1:7" ht="15">
      <c r="A46" s="44"/>
      <c r="B46" s="50"/>
      <c r="C46" s="51"/>
      <c r="D46" s="52"/>
      <c r="E46" s="48"/>
      <c r="F46" s="14"/>
      <c r="G46" s="14"/>
    </row>
    <row r="47" spans="1:7" ht="15">
      <c r="A47" s="15"/>
      <c r="B47" s="45"/>
      <c r="C47" s="46"/>
      <c r="D47" s="47"/>
      <c r="E47" s="48"/>
      <c r="F47" s="14"/>
      <c r="G47" s="14"/>
    </row>
    <row r="48" spans="1:7" ht="15">
      <c r="A48" s="49"/>
      <c r="B48" s="45"/>
      <c r="C48" s="46"/>
      <c r="D48" s="47"/>
      <c r="E48" s="48"/>
      <c r="F48" s="14"/>
      <c r="G48" s="14"/>
    </row>
    <row r="49" spans="1:7" ht="15">
      <c r="A49" s="49"/>
      <c r="B49" s="45"/>
      <c r="C49" s="46"/>
      <c r="D49" s="47"/>
      <c r="E49" s="48"/>
      <c r="F49" s="14"/>
      <c r="G49" s="14"/>
    </row>
    <row r="50" spans="1:7" ht="15">
      <c r="A50" s="49"/>
      <c r="B50" s="45"/>
      <c r="C50" s="46"/>
      <c r="D50" s="47"/>
      <c r="E50" s="48"/>
      <c r="F50" s="14"/>
      <c r="G50" s="14"/>
    </row>
    <row r="51" spans="1:8" ht="15">
      <c r="A51" s="49"/>
      <c r="B51" s="45"/>
      <c r="C51" s="46"/>
      <c r="D51" s="47"/>
      <c r="E51" s="48"/>
      <c r="F51" s="14"/>
      <c r="G51" s="14"/>
      <c r="H51" s="15"/>
    </row>
    <row r="52" spans="1:8" ht="15">
      <c r="A52" s="53"/>
      <c r="B52" s="54"/>
      <c r="C52" s="38"/>
      <c r="D52" s="38"/>
      <c r="E52" s="55"/>
      <c r="F52" s="14"/>
      <c r="G52" s="14"/>
      <c r="H52" s="15"/>
    </row>
    <row r="53" spans="1:8" ht="15.75">
      <c r="A53" s="56"/>
      <c r="B53" s="57"/>
      <c r="C53" s="57"/>
      <c r="D53" s="57"/>
      <c r="E53" s="57"/>
      <c r="F53" s="14"/>
      <c r="G53" s="14"/>
      <c r="H53" s="15"/>
    </row>
    <row r="54" spans="1:8" ht="15">
      <c r="A54" s="43"/>
      <c r="B54" s="58"/>
      <c r="C54" s="59"/>
      <c r="D54" s="60"/>
      <c r="E54" s="59"/>
      <c r="F54" s="18"/>
      <c r="G54" s="19"/>
      <c r="H54" s="15"/>
    </row>
    <row r="55" spans="1:8" ht="15">
      <c r="A55" s="15"/>
      <c r="B55" s="59"/>
      <c r="C55" s="59"/>
      <c r="D55" s="61"/>
      <c r="E55" s="59"/>
      <c r="F55" s="18"/>
      <c r="G55" s="19"/>
      <c r="H55" s="15"/>
    </row>
    <row r="56" spans="1:8" ht="15">
      <c r="A56" s="62"/>
      <c r="B56" s="38"/>
      <c r="C56" s="38"/>
      <c r="D56" s="15"/>
      <c r="E56" s="38"/>
      <c r="F56" s="17"/>
      <c r="G56" s="17"/>
      <c r="H56" s="15"/>
    </row>
    <row r="57" spans="1:8" ht="15">
      <c r="A57" s="15"/>
      <c r="B57" s="63"/>
      <c r="C57" s="64"/>
      <c r="D57" s="65"/>
      <c r="E57" s="48"/>
      <c r="F57" s="15"/>
      <c r="G57" s="15"/>
      <c r="H57" s="15"/>
    </row>
    <row r="58" spans="1:8" ht="15">
      <c r="A58" s="66"/>
      <c r="B58" s="63"/>
      <c r="C58" s="64"/>
      <c r="D58" s="65"/>
      <c r="E58" s="48"/>
      <c r="F58" s="15"/>
      <c r="G58" s="15"/>
      <c r="H58" s="15"/>
    </row>
    <row r="59" spans="1:8" ht="15">
      <c r="A59" s="66"/>
      <c r="B59" s="63"/>
      <c r="C59" s="64"/>
      <c r="D59" s="65"/>
      <c r="E59" s="48"/>
      <c r="F59" s="17"/>
      <c r="G59" s="15"/>
      <c r="H59" s="16"/>
    </row>
    <row r="60" spans="1:8" ht="15">
      <c r="A60" s="62"/>
      <c r="B60" s="67"/>
      <c r="C60" s="68"/>
      <c r="D60" s="65"/>
      <c r="E60" s="48"/>
      <c r="F60" s="14"/>
      <c r="G60" s="14"/>
      <c r="H60" s="14"/>
    </row>
    <row r="61" spans="1:8" ht="15">
      <c r="A61" s="15"/>
      <c r="B61" s="63"/>
      <c r="C61" s="64"/>
      <c r="D61" s="65"/>
      <c r="E61" s="48"/>
      <c r="F61" s="14"/>
      <c r="G61" s="14"/>
      <c r="H61" s="14"/>
    </row>
    <row r="62" spans="1:8" ht="15">
      <c r="A62" s="66"/>
      <c r="B62" s="63"/>
      <c r="C62" s="64"/>
      <c r="D62" s="65"/>
      <c r="E62" s="48"/>
      <c r="F62" s="14"/>
      <c r="G62" s="14"/>
      <c r="H62" s="14"/>
    </row>
    <row r="63" spans="1:8" ht="15">
      <c r="A63" s="49"/>
      <c r="B63" s="63"/>
      <c r="C63" s="64"/>
      <c r="D63" s="65"/>
      <c r="E63" s="48"/>
      <c r="F63" s="14"/>
      <c r="G63" s="14"/>
      <c r="H63" s="14"/>
    </row>
    <row r="64" spans="1:8" ht="15">
      <c r="A64" s="49"/>
      <c r="B64" s="63"/>
      <c r="C64" s="64"/>
      <c r="D64" s="65"/>
      <c r="E64" s="48"/>
      <c r="F64" s="14"/>
      <c r="G64" s="14"/>
      <c r="H64" s="14"/>
    </row>
    <row r="65" spans="1:8" ht="15">
      <c r="A65" s="69"/>
      <c r="B65" s="67"/>
      <c r="C65" s="68"/>
      <c r="D65" s="65"/>
      <c r="E65" s="48"/>
      <c r="F65" s="14"/>
      <c r="G65" s="14"/>
      <c r="H65" s="14"/>
    </row>
    <row r="66" spans="1:8" ht="15">
      <c r="A66" s="15"/>
      <c r="B66" s="63"/>
      <c r="C66" s="64"/>
      <c r="D66" s="65"/>
      <c r="E66" s="48"/>
      <c r="F66" s="14"/>
      <c r="G66" s="14"/>
      <c r="H66" s="14"/>
    </row>
    <row r="67" spans="1:8" ht="15">
      <c r="A67" s="49"/>
      <c r="B67" s="63"/>
      <c r="C67" s="64"/>
      <c r="D67" s="65"/>
      <c r="E67" s="48"/>
      <c r="F67" s="14"/>
      <c r="G67" s="14"/>
      <c r="H67" s="14"/>
    </row>
    <row r="68" spans="1:8" ht="15">
      <c r="A68" s="49"/>
      <c r="B68" s="63"/>
      <c r="C68" s="64"/>
      <c r="D68" s="65"/>
      <c r="E68" s="48"/>
      <c r="F68" s="14"/>
      <c r="G68" s="14"/>
      <c r="H68" s="14"/>
    </row>
    <row r="69" spans="1:8" ht="15">
      <c r="A69" s="53"/>
      <c r="B69" s="38"/>
      <c r="C69" s="38"/>
      <c r="D69" s="38"/>
      <c r="E69" s="55"/>
      <c r="F69" s="14"/>
      <c r="G69" s="14"/>
      <c r="H69" s="14"/>
    </row>
    <row r="70" spans="1:8" ht="15">
      <c r="A70" s="15"/>
      <c r="B70" s="15"/>
      <c r="C70" s="15"/>
      <c r="D70" s="15"/>
      <c r="E70" s="15"/>
      <c r="F70" s="14"/>
      <c r="G70" s="14"/>
      <c r="H70" s="14"/>
    </row>
    <row r="71" spans="1:8" ht="15">
      <c r="A71" s="15"/>
      <c r="B71" s="15"/>
      <c r="C71" s="15"/>
      <c r="D71" s="15"/>
      <c r="E71" s="15"/>
      <c r="F71" s="14"/>
      <c r="G71" s="14"/>
      <c r="H71" s="14"/>
    </row>
    <row r="72" spans="1:8" ht="18">
      <c r="A72" s="70"/>
      <c r="B72" s="71"/>
      <c r="C72" s="72"/>
      <c r="D72" s="8"/>
      <c r="E72" s="15"/>
      <c r="F72" s="14"/>
      <c r="G72" s="14"/>
      <c r="H72" s="14"/>
    </row>
    <row r="73" spans="1:8" ht="15">
      <c r="A73" s="73"/>
      <c r="B73" s="24"/>
      <c r="C73" s="25"/>
      <c r="D73" s="25"/>
      <c r="E73" s="15"/>
      <c r="F73" s="14"/>
      <c r="G73" s="14"/>
      <c r="H73" s="14"/>
    </row>
    <row r="74" spans="1:8" ht="15">
      <c r="A74" s="74"/>
      <c r="B74" s="28"/>
      <c r="C74" s="26"/>
      <c r="D74" s="26"/>
      <c r="E74" s="15"/>
      <c r="F74" s="14"/>
      <c r="G74" s="14"/>
      <c r="H74" s="14"/>
    </row>
    <row r="75" spans="1:8" ht="15">
      <c r="A75" s="74"/>
      <c r="B75" s="29"/>
      <c r="C75" s="27"/>
      <c r="D75" s="27"/>
      <c r="E75" s="15"/>
      <c r="F75" s="14"/>
      <c r="G75" s="14"/>
      <c r="H75" s="14"/>
    </row>
    <row r="76" spans="1:5" ht="15">
      <c r="A76" s="73"/>
      <c r="B76" s="30"/>
      <c r="C76" s="27"/>
      <c r="D76" s="27"/>
      <c r="E76" s="15"/>
    </row>
    <row r="77" spans="1:5" ht="15">
      <c r="A77" s="73"/>
      <c r="B77" s="30"/>
      <c r="C77" s="27"/>
      <c r="D77" s="27"/>
      <c r="E77" s="15"/>
    </row>
    <row r="78" spans="1:5" ht="15">
      <c r="A78" s="72"/>
      <c r="B78" s="31"/>
      <c r="C78" s="27"/>
      <c r="D78" s="27"/>
      <c r="E78" s="15"/>
    </row>
    <row r="79" spans="1:5" ht="15">
      <c r="A79" s="75"/>
      <c r="B79" s="9"/>
      <c r="C79" s="9"/>
      <c r="D79" s="9"/>
      <c r="E79" s="15"/>
    </row>
    <row r="80" spans="1:5" ht="15">
      <c r="A80" s="76"/>
      <c r="B80" s="7"/>
      <c r="C80" s="7"/>
      <c r="D80" s="7"/>
      <c r="E80" s="15"/>
    </row>
    <row r="81" spans="1:5" ht="15">
      <c r="A81" s="76"/>
      <c r="B81" s="7"/>
      <c r="C81" s="7"/>
      <c r="D81" s="7"/>
      <c r="E81" s="15"/>
    </row>
    <row r="82" spans="1:5" ht="15">
      <c r="A82" s="77"/>
      <c r="B82" s="9"/>
      <c r="C82" s="9"/>
      <c r="D82" s="9"/>
      <c r="E82" s="15"/>
    </row>
    <row r="83" spans="1:5" ht="15">
      <c r="A83" s="76"/>
      <c r="B83" s="10"/>
      <c r="C83" s="11"/>
      <c r="D83" s="11"/>
      <c r="E83" s="15"/>
    </row>
    <row r="84" spans="1:5" ht="15">
      <c r="A84" s="76"/>
      <c r="B84" s="10"/>
      <c r="C84" s="11"/>
      <c r="D84" s="11"/>
      <c r="E84" s="15"/>
    </row>
    <row r="85" spans="1:5" ht="15">
      <c r="A85" s="15"/>
      <c r="B85" s="15"/>
      <c r="C85" s="15"/>
      <c r="D85" s="15"/>
      <c r="E85" s="15"/>
    </row>
    <row r="86" spans="1:5" ht="15">
      <c r="A86" s="15"/>
      <c r="B86" s="78"/>
      <c r="C86" s="15"/>
      <c r="D86" s="15"/>
      <c r="E86" s="15"/>
    </row>
    <row r="87" spans="1:5" ht="15">
      <c r="A87" s="15"/>
      <c r="B87" s="15"/>
      <c r="C87" s="15"/>
      <c r="D87" s="15"/>
      <c r="E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  <row r="90" spans="1:5" ht="15">
      <c r="A90" s="15"/>
      <c r="B90" s="15"/>
      <c r="C90" s="15"/>
      <c r="D90" s="15"/>
      <c r="E90" s="15"/>
    </row>
    <row r="91" spans="1:5" ht="15">
      <c r="A91" s="15"/>
      <c r="B91" s="15"/>
      <c r="C91" s="15"/>
      <c r="D91" s="15"/>
      <c r="E91" s="15"/>
    </row>
  </sheetData>
  <sheetProtection/>
  <printOptions/>
  <pageMargins left="0.75" right="0.56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Bauman, Jamie (OMAFRA)</cp:lastModifiedBy>
  <cp:lastPrinted>2001-02-06T13:58:30Z</cp:lastPrinted>
  <dcterms:created xsi:type="dcterms:W3CDTF">1999-11-08T14:33:43Z</dcterms:created>
  <dcterms:modified xsi:type="dcterms:W3CDTF">2015-12-02T20:03:35Z</dcterms:modified>
  <cp:category/>
  <cp:version/>
  <cp:contentType/>
  <cp:contentStatus/>
</cp:coreProperties>
</file>