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https://ontariogov-my.sharepoint.com/personal/john_molenhuis_ontario_ca/Documents/Documents/Data/updatedbudgets/Program Files/Bear/BudgetFiles/Fruit/SmallFruit/2022/"/>
    </mc:Choice>
  </mc:AlternateContent>
  <xr:revisionPtr revIDLastSave="52" documentId="8_{61A4C51D-A2FD-44A1-84C0-389390CCD508}" xr6:coauthVersionLast="47" xr6:coauthVersionMax="47" xr10:uidLastSave="{ED312885-AAF5-4A75-A30E-0EA798E3AE7A}"/>
  <bookViews>
    <workbookView xWindow="-103" yWindow="-103" windowWidth="22149" windowHeight="11949" xr2:uid="{00000000-000D-0000-FFFF-FFFF00000000}"/>
  </bookViews>
  <sheets>
    <sheet name="BLUE" sheetId="1" r:id="rId1"/>
  </sheets>
  <definedNames>
    <definedName name="_Key1" hidden="1">#REF!</definedName>
    <definedName name="_Order1" hidden="1">255</definedName>
    <definedName name="_Parse_In" hidden="1">#REF!</definedName>
    <definedName name="_Parse_Out" hidden="1">#REF!</definedName>
    <definedName name="_Sort" hidden="1">#REF!</definedName>
    <definedName name="_Table2_In1" hidden="1">#REF!</definedName>
    <definedName name="_Table2_In2" hidden="1">#REF!</definedName>
    <definedName name="_Table2_Out" hidden="1">#REF!</definedName>
    <definedName name="_xlnm.Print_Area" localSheetId="0">BLUE!$A$2:$Y$177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37" i="1" l="1"/>
  <c r="AA97" i="1" l="1"/>
  <c r="AA67" i="1" l="1"/>
  <c r="G66" i="1" s="1"/>
  <c r="AA68" i="1" s="1"/>
  <c r="H66" i="1" s="1"/>
  <c r="AA69" i="1"/>
  <c r="G67" i="1" s="1"/>
  <c r="AA70" i="1" s="1"/>
  <c r="H67" i="1" s="1"/>
  <c r="AA186" i="1" l="1"/>
  <c r="AA188" i="1" s="1"/>
  <c r="H127" i="1" s="1"/>
  <c r="AA187" i="1" s="1"/>
  <c r="G127" i="1" s="1"/>
  <c r="AA180" i="1"/>
  <c r="AA182" i="1" s="1"/>
  <c r="H124" i="1" s="1"/>
  <c r="AA181" i="1" s="1"/>
  <c r="G124" i="1" s="1"/>
  <c r="AA177" i="1"/>
  <c r="AA179" i="1" s="1"/>
  <c r="H123" i="1" s="1"/>
  <c r="AA171" i="1"/>
  <c r="AA156" i="1"/>
  <c r="AA158" i="1" s="1"/>
  <c r="H110" i="1" s="1"/>
  <c r="AA157" i="1" s="1"/>
  <c r="G110" i="1" s="1"/>
  <c r="AA159" i="1"/>
  <c r="AA161" i="1" s="1"/>
  <c r="H111" i="1" s="1"/>
  <c r="AA160" i="1" s="1"/>
  <c r="G111" i="1" s="1"/>
  <c r="AA162" i="1"/>
  <c r="AA164" i="1" s="1"/>
  <c r="H112" i="1" s="1"/>
  <c r="AA163" i="1" s="1"/>
  <c r="G112" i="1" s="1"/>
  <c r="AA165" i="1"/>
  <c r="AA167" i="1" s="1"/>
  <c r="H113" i="1" s="1"/>
  <c r="AA166" i="1" s="1"/>
  <c r="G113" i="1" s="1"/>
  <c r="AA168" i="1"/>
  <c r="AA170" i="1" s="1"/>
  <c r="H114" i="1" s="1"/>
  <c r="AA169" i="1" s="1"/>
  <c r="G114" i="1" s="1"/>
  <c r="AA76" i="1"/>
  <c r="G47" i="1" s="1"/>
  <c r="AA77" i="1" s="1"/>
  <c r="H47" i="1" s="1"/>
  <c r="AA84" i="1"/>
  <c r="G56" i="1" s="1"/>
  <c r="AA85" i="1" s="1"/>
  <c r="H56" i="1" s="1"/>
  <c r="AA82" i="1"/>
  <c r="G55" i="1" s="1"/>
  <c r="AA83" i="1" s="1"/>
  <c r="H55" i="1" s="1"/>
  <c r="AA64" i="1"/>
  <c r="G45" i="1" s="1"/>
  <c r="AA73" i="1" s="1"/>
  <c r="H45" i="1" s="1"/>
  <c r="AA90" i="1"/>
  <c r="G59" i="1" s="1"/>
  <c r="AA91" i="1" s="1"/>
  <c r="H59" i="1" s="1"/>
  <c r="AA88" i="1"/>
  <c r="G58" i="1" s="1"/>
  <c r="AA89" i="1" s="1"/>
  <c r="H58" i="1" s="1"/>
  <c r="AA60" i="1"/>
  <c r="G40" i="1" s="1"/>
  <c r="AA61" i="1" s="1"/>
  <c r="H40" i="1" s="1"/>
  <c r="AA52" i="1"/>
  <c r="G36" i="1" s="1"/>
  <c r="AA53" i="1" s="1"/>
  <c r="H36" i="1" s="1"/>
  <c r="AA45" i="1"/>
  <c r="G33" i="1" s="1"/>
  <c r="AA46" i="1" s="1"/>
  <c r="H33" i="1" s="1"/>
  <c r="AA39" i="1"/>
  <c r="G30" i="1" s="1"/>
  <c r="AA40" i="1" s="1"/>
  <c r="H30" i="1" s="1"/>
  <c r="AA37" i="1"/>
  <c r="G29" i="1" s="1"/>
  <c r="AA38" i="1" s="1"/>
  <c r="H29" i="1" s="1"/>
  <c r="AA145" i="1"/>
  <c r="G126" i="1" s="1"/>
  <c r="AA146" i="1" s="1"/>
  <c r="H126" i="1" s="1"/>
  <c r="AA183" i="1"/>
  <c r="AA185" i="1" s="1"/>
  <c r="H125" i="1" s="1"/>
  <c r="AA184" i="1" s="1"/>
  <c r="G125" i="1" s="1"/>
  <c r="AA17" i="1"/>
  <c r="G23" i="1" s="1"/>
  <c r="AA20" i="1"/>
  <c r="G24" i="1" s="1"/>
  <c r="AA21" i="1" s="1"/>
  <c r="H24" i="1" s="1"/>
  <c r="AA22" i="1"/>
  <c r="G25" i="1" s="1"/>
  <c r="AA23" i="1" s="1"/>
  <c r="H25" i="1" s="1"/>
  <c r="AA25" i="1"/>
  <c r="G26" i="1" s="1"/>
  <c r="AA26" i="1" s="1"/>
  <c r="H26" i="1" s="1"/>
  <c r="AA28" i="1"/>
  <c r="G27" i="1" s="1"/>
  <c r="AA29" i="1" s="1"/>
  <c r="H27" i="1" s="1"/>
  <c r="AA34" i="1"/>
  <c r="G28" i="1" s="1"/>
  <c r="AA35" i="1" s="1"/>
  <c r="H28" i="1" s="1"/>
  <c r="AA41" i="1"/>
  <c r="G31" i="1" s="1"/>
  <c r="AA42" i="1" s="1"/>
  <c r="H31" i="1" s="1"/>
  <c r="AA48" i="1"/>
  <c r="G34" i="1" s="1"/>
  <c r="AA49" i="1" s="1"/>
  <c r="H34" i="1" s="1"/>
  <c r="AA50" i="1"/>
  <c r="G35" i="1" s="1"/>
  <c r="AA51" i="1" s="1"/>
  <c r="H35" i="1" s="1"/>
  <c r="AA54" i="1"/>
  <c r="G37" i="1" s="1"/>
  <c r="AA55" i="1" s="1"/>
  <c r="H37" i="1" s="1"/>
  <c r="AA58" i="1"/>
  <c r="G38" i="1" s="1"/>
  <c r="AA59" i="1" s="1"/>
  <c r="H38" i="1" s="1"/>
  <c r="AA56" i="1"/>
  <c r="G39" i="1" s="1"/>
  <c r="AA57" i="1" s="1"/>
  <c r="H39" i="1" s="1"/>
  <c r="AA62" i="1"/>
  <c r="G41" i="1" s="1"/>
  <c r="AA63" i="1" s="1"/>
  <c r="H41" i="1" s="1"/>
  <c r="AA65" i="1"/>
  <c r="G42" i="1" s="1"/>
  <c r="AA66" i="1" s="1"/>
  <c r="H42" i="1" s="1"/>
  <c r="AA71" i="1"/>
  <c r="G43" i="1" s="1"/>
  <c r="AA72" i="1" s="1"/>
  <c r="H43" i="1" s="1"/>
  <c r="AA74" i="1"/>
  <c r="G46" i="1" s="1"/>
  <c r="AA75" i="1" s="1"/>
  <c r="H46" i="1" s="1"/>
  <c r="AA78" i="1"/>
  <c r="G48" i="1" s="1"/>
  <c r="AA79" i="1" s="1"/>
  <c r="H48" i="1" s="1"/>
  <c r="AA86" i="1"/>
  <c r="G57" i="1" s="1"/>
  <c r="AA87" i="1" s="1"/>
  <c r="H57" i="1" s="1"/>
  <c r="E98" i="1"/>
  <c r="AA208" i="1"/>
  <c r="I149" i="1" s="1"/>
  <c r="AA191" i="1"/>
  <c r="E134" i="1" s="1"/>
  <c r="AA192" i="1" s="1"/>
  <c r="F134" i="1" s="1"/>
  <c r="AA13" i="1" s="1"/>
  <c r="K18" i="1" s="1"/>
  <c r="AA138" i="1"/>
  <c r="F98" i="1" s="1"/>
  <c r="AA98" i="1"/>
  <c r="G75" i="1" s="1"/>
  <c r="AA99" i="1" s="1"/>
  <c r="H75" i="1" s="1"/>
  <c r="AA100" i="1"/>
  <c r="G76" i="1" s="1"/>
  <c r="AA101" i="1" s="1"/>
  <c r="H76" i="1" s="1"/>
  <c r="AA102" i="1"/>
  <c r="G78" i="1" s="1"/>
  <c r="AA103" i="1" s="1"/>
  <c r="H78" i="1" s="1"/>
  <c r="AA104" i="1"/>
  <c r="G79" i="1" s="1"/>
  <c r="AA105" i="1" s="1"/>
  <c r="H79" i="1" s="1"/>
  <c r="AA106" i="1"/>
  <c r="G80" i="1" s="1"/>
  <c r="AA107" i="1" s="1"/>
  <c r="H80" i="1" s="1"/>
  <c r="AA112" i="1"/>
  <c r="AA113" i="1"/>
  <c r="G84" i="1" s="1"/>
  <c r="AA114" i="1" s="1"/>
  <c r="H84" i="1" s="1"/>
  <c r="AA115" i="1"/>
  <c r="G85" i="1" s="1"/>
  <c r="AA116" i="1" s="1"/>
  <c r="H85" i="1" s="1"/>
  <c r="AA117" i="1"/>
  <c r="AA118" i="1"/>
  <c r="G87" i="1" s="1"/>
  <c r="AA119" i="1" s="1"/>
  <c r="H87" i="1" s="1"/>
  <c r="AA120" i="1"/>
  <c r="G88" i="1" s="1"/>
  <c r="AA121" i="1" s="1"/>
  <c r="H88" i="1" s="1"/>
  <c r="AA122" i="1"/>
  <c r="AA123" i="1"/>
  <c r="G90" i="1" s="1"/>
  <c r="AA124" i="1" s="1"/>
  <c r="H90" i="1" s="1"/>
  <c r="AA125" i="1"/>
  <c r="G91" i="1" s="1"/>
  <c r="AA126" i="1" s="1"/>
  <c r="H91" i="1" s="1"/>
  <c r="AA131" i="1"/>
  <c r="G95" i="1" s="1"/>
  <c r="AA132" i="1" s="1"/>
  <c r="H95" i="1" s="1"/>
  <c r="AA133" i="1"/>
  <c r="G96" i="1" s="1"/>
  <c r="AA134" i="1" s="1"/>
  <c r="H96" i="1" s="1"/>
  <c r="AA135" i="1"/>
  <c r="G97" i="1" s="1"/>
  <c r="AA136" i="1" s="1"/>
  <c r="H97" i="1" s="1"/>
  <c r="AA141" i="1"/>
  <c r="G99" i="1" s="1"/>
  <c r="AA142" i="1" s="1"/>
  <c r="H99" i="1" s="1"/>
  <c r="AA143" i="1"/>
  <c r="G100" i="1" s="1"/>
  <c r="AA144" i="1" s="1"/>
  <c r="H100" i="1" s="1"/>
  <c r="AA147" i="1"/>
  <c r="AA148" i="1"/>
  <c r="G104" i="1" s="1"/>
  <c r="AA149" i="1" s="1"/>
  <c r="H104" i="1" s="1"/>
  <c r="AA150" i="1"/>
  <c r="G105" i="1" s="1"/>
  <c r="AA151" i="1" s="1"/>
  <c r="H105" i="1" s="1"/>
  <c r="AA152" i="1"/>
  <c r="G106" i="1" s="1"/>
  <c r="AA153" i="1" s="1"/>
  <c r="H106" i="1" s="1"/>
  <c r="AA154" i="1"/>
  <c r="G107" i="1" s="1"/>
  <c r="AA155" i="1" s="1"/>
  <c r="H107" i="1" s="1"/>
  <c r="AA6" i="1"/>
  <c r="D14" i="1" s="1"/>
  <c r="AA3" i="1"/>
  <c r="C9" i="1" s="1"/>
  <c r="AA4" i="1"/>
  <c r="E9" i="1" s="1"/>
  <c r="AA5" i="1"/>
  <c r="G9" i="1" s="1"/>
  <c r="AA15" i="1"/>
  <c r="K20" i="1" s="1"/>
  <c r="AA16" i="1"/>
  <c r="K21" i="1" s="1"/>
  <c r="AA19" i="1"/>
  <c r="K23" i="1" s="1"/>
  <c r="A70" i="1"/>
  <c r="AA93" i="1" l="1"/>
  <c r="H61" i="1" s="1"/>
  <c r="AA178" i="1"/>
  <c r="G123" i="1" s="1"/>
  <c r="AA207" i="1"/>
  <c r="I148" i="1" s="1"/>
  <c r="AA209" i="1" s="1"/>
  <c r="I150" i="1" s="1"/>
  <c r="AA139" i="1"/>
  <c r="G98" i="1" s="1"/>
  <c r="AA140" i="1" s="1"/>
  <c r="H98" i="1" s="1"/>
  <c r="AA44" i="1" s="1"/>
  <c r="K34" i="1" s="1"/>
  <c r="AA47" i="1" s="1"/>
  <c r="K35" i="1" s="1"/>
  <c r="AA24" i="1"/>
  <c r="K25" i="1" s="1"/>
  <c r="AA43" i="1"/>
  <c r="K33" i="1" s="1"/>
  <c r="AA11" i="1" s="1"/>
  <c r="D17" i="1" s="1"/>
  <c r="AA33" i="1"/>
  <c r="K28" i="1" s="1"/>
  <c r="AA27" i="1"/>
  <c r="K26" i="1" s="1"/>
  <c r="AA36" i="1"/>
  <c r="K29" i="1" s="1"/>
  <c r="AA80" i="1"/>
  <c r="G50" i="1" s="1"/>
  <c r="AA92" i="1"/>
  <c r="G61" i="1" s="1"/>
  <c r="AA18" i="1"/>
  <c r="H23" i="1" s="1"/>
  <c r="AA81" i="1" s="1"/>
  <c r="H50" i="1" s="1"/>
  <c r="G63" i="1" l="1"/>
  <c r="AA95" i="1" s="1"/>
  <c r="G69" i="1" s="1"/>
  <c r="AA94" i="1"/>
  <c r="H63" i="1" s="1"/>
  <c r="AA176" i="1"/>
  <c r="J120" i="1" s="1"/>
  <c r="AA173" i="1" s="1"/>
  <c r="H117" i="1" s="1"/>
  <c r="AA175" i="1" s="1"/>
  <c r="H119" i="1" s="1"/>
  <c r="AA30" i="1" s="1"/>
  <c r="K27" i="1" s="1"/>
  <c r="AA9" i="1"/>
  <c r="D16" i="1" s="1"/>
  <c r="AA193" i="1" s="1"/>
  <c r="AA194" i="1" s="1"/>
  <c r="AA8" i="1" s="1"/>
  <c r="K15" i="1" s="1"/>
  <c r="AA7" i="1"/>
  <c r="D15" i="1" s="1"/>
  <c r="AA216" i="1"/>
  <c r="G159" i="1" s="1"/>
  <c r="H159" i="1" s="1"/>
  <c r="AA14" i="1"/>
  <c r="K19" i="1" s="1"/>
  <c r="AA96" i="1" l="1"/>
  <c r="G128" i="1"/>
  <c r="AA172" i="1"/>
  <c r="G117" i="1" s="1"/>
  <c r="AA10" i="1"/>
  <c r="K16" i="1" s="1"/>
  <c r="AA174" i="1"/>
  <c r="G119" i="1" s="1"/>
  <c r="AA196" i="1"/>
  <c r="F136" i="1" s="1"/>
  <c r="AA195" i="1" l="1"/>
  <c r="E136" i="1" s="1"/>
  <c r="AA203" i="1" s="1"/>
  <c r="G143" i="1" s="1"/>
  <c r="AA198" i="1"/>
  <c r="F138" i="1" s="1"/>
  <c r="AA197" i="1" l="1"/>
  <c r="E138" i="1" s="1"/>
  <c r="H69" i="1" l="1"/>
  <c r="H128" i="1" s="1"/>
  <c r="AA190" i="1" s="1"/>
  <c r="H131" i="1" s="1"/>
  <c r="AA189" i="1" l="1"/>
  <c r="G131" i="1" s="1"/>
  <c r="AA200" i="1"/>
  <c r="F139" i="1" s="1"/>
  <c r="AA199" i="1" s="1"/>
  <c r="E139" i="1" s="1"/>
  <c r="AA12" i="1"/>
  <c r="K17" i="1" s="1"/>
  <c r="AA202" i="1" l="1"/>
  <c r="F141" i="1" s="1"/>
  <c r="AA201" i="1"/>
  <c r="E141" i="1" s="1"/>
  <c r="AA204" i="1"/>
  <c r="G144" i="1" s="1"/>
  <c r="AA205" i="1" s="1"/>
  <c r="G146" i="1" s="1"/>
  <c r="AA206" i="1" l="1"/>
  <c r="I147" i="1" s="1"/>
  <c r="AA2" i="1"/>
  <c r="H3" i="1" s="1"/>
  <c r="AA222" i="1" l="1"/>
  <c r="C165" i="1" s="1"/>
  <c r="AA221" i="1"/>
  <c r="C164" i="1" s="1"/>
  <c r="AA223" i="1"/>
  <c r="C166" i="1" s="1"/>
  <c r="AA212" i="1"/>
  <c r="J152" i="1" s="1"/>
  <c r="AA211" i="1"/>
  <c r="I152" i="1" s="1"/>
  <c r="AA224" i="1"/>
  <c r="C167" i="1" s="1"/>
  <c r="AA225" i="1"/>
  <c r="C168" i="1" s="1"/>
  <c r="AA215" i="1" l="1"/>
  <c r="J153" i="1" s="1"/>
  <c r="AA218" i="1"/>
  <c r="J154" i="1" s="1"/>
  <c r="AA214" i="1"/>
  <c r="I153" i="1" s="1"/>
  <c r="AA217" i="1"/>
  <c r="I154" i="1" s="1"/>
  <c r="AA219" i="1" l="1"/>
  <c r="I155" i="1" s="1"/>
  <c r="AA210" i="1" s="1"/>
  <c r="G156" i="1" s="1"/>
  <c r="AA220" i="1"/>
  <c r="J155" i="1" s="1"/>
  <c r="AA213" i="1" s="1"/>
  <c r="G15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molenhuisjo</author>
  </authors>
  <commentList>
    <comment ref="C6" authorId="0" shapeId="0" xr:uid="{FAA9E855-7F58-4FB3-9048-42B6F1F59783}">
      <text>
        <r>
          <rPr>
            <sz val="8"/>
            <color indexed="81"/>
            <rFont val="Tahoma"/>
            <family val="2"/>
          </rPr>
          <t xml:space="preserve">L’estimation optimiste est le rendement auquel vous pourriez raisonnablement vous attendre au moins une année sur six.
</t>
        </r>
      </text>
    </comment>
    <comment ref="E6" authorId="0" shapeId="0" xr:uid="{D9F01544-87B9-495A-9E15-02DE55AF8660}">
      <text>
        <r>
          <rPr>
            <b/>
            <sz val="8"/>
            <color indexed="81"/>
            <rFont val="Tahoma"/>
            <family val="2"/>
          </rPr>
          <t>Le rendement anticipé est le rendement que vous vous attendez d’obtenir cette année.</t>
        </r>
      </text>
    </comment>
    <comment ref="G6" authorId="0" shapeId="0" xr:uid="{C9113F50-0768-4248-B580-F210F72D59A4}">
      <text>
        <r>
          <rPr>
            <sz val="8"/>
            <color indexed="81"/>
            <rFont val="Tahoma"/>
            <family val="2"/>
          </rPr>
          <t xml:space="preserve">L’attente pessimiste est le rendement le plus faible auquel vous pourriez raisonnablement vous attendre une année sur six.
</t>
        </r>
      </text>
    </comment>
    <comment ref="C159" authorId="0" shapeId="0" xr:uid="{80664D2D-9C85-43B8-A555-79871542F044}">
      <text>
        <r>
          <rPr>
            <b/>
            <sz val="8"/>
            <color indexed="81"/>
            <rFont val="Tahoma"/>
            <family val="2"/>
          </rPr>
          <t xml:space="preserve">Le coefficient de variation est utilisé à titre d'indicateur du niveau de risque de l'exploitation.  Il mesure en dollars le risque pris par dollar de revenu anticipé.  Plus le coefficient de variation est élevé, plus la variabilité de la fourchette de revenus de l'entreprise est grande. Plus le coefficient de variation est faible,  plus les probabilités que le résultat s'approche des prévisions sont élevées.   
Comparer le coefficient de variation de cette entreprise avec d'autres; les entreprises dont le coefficient de variation est moins élevé présentent moins de risques. 
</t>
        </r>
        <r>
          <rPr>
            <sz val="8"/>
            <color indexed="81"/>
            <rFont val="Tahoma"/>
            <family val="2"/>
          </rPr>
          <t xml:space="preserve">
</t>
        </r>
      </text>
    </comment>
  </commentList>
</comments>
</file>

<file path=xl/sharedStrings.xml><?xml version="1.0" encoding="utf-8"?>
<sst xmlns="http://schemas.openxmlformats.org/spreadsheetml/2006/main" count="301" uniqueCount="178">
  <si>
    <t>1 tonne =</t>
  </si>
  <si>
    <t>Allo!C3..J14</t>
  </si>
  <si>
    <t>no.</t>
  </si>
  <si>
    <t>hr.</t>
  </si>
  <si>
    <t>Grip prob factor (component of grip)</t>
  </si>
  <si>
    <t>N/A</t>
  </si>
  <si>
    <t>C.I. prob factor (component of Crop Insurance)</t>
  </si>
  <si>
    <t xml:space="preserve">      1.</t>
  </si>
  <si>
    <t>kg or l</t>
  </si>
  <si>
    <t xml:space="preserve">      2.</t>
  </si>
  <si>
    <t xml:space="preserve">      3.</t>
  </si>
  <si>
    <t xml:space="preserve">  Herbicides</t>
  </si>
  <si>
    <t>$</t>
  </si>
  <si>
    <t xml:space="preserve">  ------</t>
  </si>
  <si>
    <t>-------</t>
  </si>
  <si>
    <t xml:space="preserve"> -------</t>
  </si>
  <si>
    <t>--------</t>
  </si>
  <si>
    <t>---</t>
  </si>
  <si>
    <t xml:space="preserve">  Herbicides:</t>
  </si>
  <si>
    <t>Wfarm!L4</t>
  </si>
  <si>
    <t>Wfarm!L5</t>
  </si>
  <si>
    <t>Wfarm!L6</t>
  </si>
  <si>
    <t>Wfarm!L7</t>
  </si>
  <si>
    <t>Wfarm!L8</t>
  </si>
  <si>
    <t>Wfarm!L9</t>
  </si>
  <si>
    <t>Wfarm!K4</t>
  </si>
  <si>
    <t>Wfarm!K5</t>
  </si>
  <si>
    <t>Wfarm!K6</t>
  </si>
  <si>
    <t>Wfarm!K7</t>
  </si>
  <si>
    <t>mn</t>
  </si>
  <si>
    <t>ystd</t>
  </si>
  <si>
    <t>pstd</t>
  </si>
  <si>
    <t>nrstd</t>
  </si>
  <si>
    <t xml:space="preserve">       17 %</t>
  </si>
  <si>
    <t xml:space="preserve">       33 %</t>
  </si>
  <si>
    <t>z</t>
  </si>
  <si>
    <t xml:space="preserve">       50 %</t>
  </si>
  <si>
    <t>v1</t>
  </si>
  <si>
    <t xml:space="preserve">       67 %</t>
  </si>
  <si>
    <t>v2</t>
  </si>
  <si>
    <t xml:space="preserve">       83 %</t>
  </si>
  <si>
    <t>p(vx)</t>
  </si>
  <si>
    <t/>
  </si>
  <si>
    <t>lb</t>
  </si>
  <si>
    <t>ag.info.omafra@ontario.ca</t>
  </si>
  <si>
    <t xml:space="preserve"> Irrigation </t>
  </si>
  <si>
    <t>kg</t>
  </si>
  <si>
    <t xml:space="preserve">kg </t>
  </si>
  <si>
    <t xml:space="preserve">  Irrigation </t>
  </si>
  <si>
    <t>Il s’agit d’un outil de budgétisation contenant un chiffrier pour le calcul du coût de production. Des champs à remplir sont prévus pour l’utilisateur. L’outil comporte 21 colonnes et 252 lignes.</t>
  </si>
  <si>
    <t>Nombre d'acres =</t>
  </si>
  <si>
    <t>Profit par acre:</t>
  </si>
  <si>
    <t xml:space="preserve">Chaque exploitant peut modifier les nombres en bleu pour refléter les données de son entreprise. </t>
  </si>
  <si>
    <t xml:space="preserve">  Optimiste</t>
  </si>
  <si>
    <t xml:space="preserve">  Anticipé</t>
  </si>
  <si>
    <t xml:space="preserve"> Pessimiste</t>
  </si>
  <si>
    <t xml:space="preserve">  Assurance-récolte (AR)</t>
  </si>
  <si>
    <t xml:space="preserve">   Prime AR/acre</t>
  </si>
  <si>
    <t xml:space="preserve">   Couverture</t>
  </si>
  <si>
    <t xml:space="preserve">   Rendement garanti/acre</t>
  </si>
  <si>
    <t xml:space="preserve">   Probabilité de paiement</t>
  </si>
  <si>
    <t xml:space="preserve">   Paiement anticipé/acre</t>
  </si>
  <si>
    <t xml:space="preserve">  Participation à AR? (o/n)</t>
  </si>
  <si>
    <t>Années de récolte prévues</t>
  </si>
  <si>
    <t>Taux d'intérêt actuel</t>
  </si>
  <si>
    <t xml:space="preserve">Taux d'inflation actuel </t>
  </si>
  <si>
    <t>Période d'établissement (années) :</t>
  </si>
  <si>
    <t>Frais</t>
  </si>
  <si>
    <t>Unité/ac</t>
  </si>
  <si>
    <t>Nombre</t>
  </si>
  <si>
    <t>Frais/unité</t>
  </si>
  <si>
    <t>$/acre</t>
  </si>
  <si>
    <t>$/année</t>
  </si>
  <si>
    <t>FRAIS D'ÉTABLISSEMENT</t>
  </si>
  <si>
    <t xml:space="preserve"> Semences de cult.de couverture </t>
  </si>
  <si>
    <t xml:space="preserve"> Assurance-récolte</t>
  </si>
  <si>
    <t>Travail manuel</t>
  </si>
  <si>
    <t xml:space="preserve">  Travail - machinerie</t>
  </si>
  <si>
    <t xml:space="preserve">  Engrais</t>
  </si>
  <si>
    <t xml:space="preserve">  Fongicides</t>
  </si>
  <si>
    <t xml:space="preserve">  Salubrité des aliments</t>
  </si>
  <si>
    <t xml:space="preserve"> Carburant</t>
  </si>
  <si>
    <t xml:space="preserve"> Rép./entr. machinerie</t>
  </si>
  <si>
    <t xml:space="preserve">  Frais variables généraux </t>
  </si>
  <si>
    <t xml:space="preserve"> Intérêts sur le</t>
  </si>
  <si>
    <t xml:space="preserve"> Intérêts sur le capital d'exploitation</t>
  </si>
  <si>
    <t>Total des frais variables d'établissement</t>
  </si>
  <si>
    <t>Frais fixes :</t>
  </si>
  <si>
    <t xml:space="preserve">  Dépréciation - machinerie</t>
  </si>
  <si>
    <t xml:space="preserve">  Intérêt sur investissement - machinerie</t>
  </si>
  <si>
    <t xml:space="preserve">  Coûts des terres </t>
  </si>
  <si>
    <t xml:space="preserve"> Entreposage au froid</t>
  </si>
  <si>
    <t xml:space="preserve">  Frais fixes généraux</t>
  </si>
  <si>
    <t>Unité/acre</t>
  </si>
  <si>
    <t>$/période d'étab.</t>
  </si>
  <si>
    <t xml:space="preserve">TOTAL  DES FRAIS D'ÉTABLISSEMENT </t>
  </si>
  <si>
    <t>Total des frais fixes d'établissement</t>
  </si>
  <si>
    <t xml:space="preserve"> Amortissement - Coûts d'établissement : entrée directe</t>
  </si>
  <si>
    <t>Risque peu élevé</t>
  </si>
  <si>
    <t>Risque moyen</t>
  </si>
  <si>
    <t>Risque élevé</t>
  </si>
  <si>
    <t>$/an</t>
  </si>
  <si>
    <t xml:space="preserve"> Travail manuel </t>
  </si>
  <si>
    <t xml:space="preserve"> Travail - machinerie </t>
  </si>
  <si>
    <t xml:space="preserve"> Engrais</t>
  </si>
  <si>
    <t xml:space="preserve"> Autres dépenses </t>
  </si>
  <si>
    <t>Tous types de fongicides</t>
  </si>
  <si>
    <t xml:space="preserve">Total herbicides   </t>
  </si>
  <si>
    <t xml:space="preserve">  Assurance-récolte</t>
  </si>
  <si>
    <t>assurance</t>
  </si>
  <si>
    <t>Type</t>
  </si>
  <si>
    <t xml:space="preserve"> $/acre</t>
  </si>
  <si>
    <t xml:space="preserve"> Rép./entr. bâtiments</t>
  </si>
  <si>
    <t xml:space="preserve"> Loyer</t>
  </si>
  <si>
    <t xml:space="preserve"> Frais variables généraux</t>
  </si>
  <si>
    <t xml:space="preserve"> capital d'exploitation</t>
  </si>
  <si>
    <t>% intérêt</t>
  </si>
  <si>
    <t xml:space="preserve"> % annuel</t>
  </si>
  <si>
    <t>Total des frais variables</t>
  </si>
  <si>
    <t xml:space="preserve"> Dépréciation- machinerie</t>
  </si>
  <si>
    <t xml:space="preserve"> Intérêt sur investissement- machinerie</t>
  </si>
  <si>
    <t xml:space="preserve"> Coût des terres</t>
  </si>
  <si>
    <t xml:space="preserve"> Frais fixes généraux</t>
  </si>
  <si>
    <t xml:space="preserve"> Amortissement - Coûts d'établissement </t>
  </si>
  <si>
    <t>Total des frais fixes</t>
  </si>
  <si>
    <t>Revenus</t>
  </si>
  <si>
    <t xml:space="preserve">Revenus totaux anticipés </t>
  </si>
  <si>
    <t xml:space="preserve">    moins : frais variables </t>
  </si>
  <si>
    <t>Marge d'exploitation anticipée</t>
  </si>
  <si>
    <t xml:space="preserve">   moins : frais fixes </t>
  </si>
  <si>
    <t xml:space="preserve">Revenu net anticipé </t>
  </si>
  <si>
    <t xml:space="preserve">         Seuil en $/lb à atteindre :</t>
  </si>
  <si>
    <t>Frais variables</t>
  </si>
  <si>
    <t>Frais fixes</t>
  </si>
  <si>
    <t>Total des frais</t>
  </si>
  <si>
    <t>Probabilité d'obtenir au moins le seuil de rentabilité           ==&gt;</t>
  </si>
  <si>
    <t>Probabilité d'obtenir au moins</t>
  </si>
  <si>
    <t>revenu $/acre   ==&gt;</t>
  </si>
  <si>
    <t>Indicateur de risque</t>
  </si>
  <si>
    <t>Coefficient de variation                 ==&gt;</t>
  </si>
  <si>
    <t>Profits $/acre</t>
  </si>
  <si>
    <t>Probabilités d'obtenir au moins</t>
  </si>
  <si>
    <t>ce profit à l'acre</t>
  </si>
  <si>
    <t>L'utilisateur de la présente feuille de travail est entièrement responsable de son contenu.</t>
  </si>
  <si>
    <t>Pour plus d'information</t>
  </si>
  <si>
    <t>Centre d'information agricole du MAAARO</t>
  </si>
  <si>
    <t>1 877 424-1300</t>
  </si>
  <si>
    <t>fin de la feuille de calcul</t>
  </si>
  <si>
    <t>$/ans</t>
  </si>
  <si>
    <t>Coûts de récolte (période d'établissement)</t>
  </si>
  <si>
    <t>Revenu (période d'établissement)</t>
  </si>
  <si>
    <t>$/unité</t>
  </si>
  <si>
    <t xml:space="preserve"> DE PRODUCTION ANNUELS</t>
  </si>
  <si>
    <t>AMORTISSEMENT - COÛTS D'ÉTABLISSEMENT</t>
  </si>
  <si>
    <t xml:space="preserve"> Entreposage</t>
  </si>
  <si>
    <t>Prix - $/lb</t>
  </si>
  <si>
    <t>non</t>
  </si>
  <si>
    <t xml:space="preserve">  Divers (analyse foliaire, analyses de sol)</t>
  </si>
  <si>
    <t>N</t>
  </si>
  <si>
    <t>K</t>
  </si>
  <si>
    <t xml:space="preserve">   Contenants</t>
  </si>
  <si>
    <t xml:space="preserve">   Location de toilettes</t>
  </si>
  <si>
    <t xml:space="preserve"> Mise en marché</t>
  </si>
  <si>
    <t xml:space="preserve"> Plants</t>
  </si>
  <si>
    <t xml:space="preserve">  Revised: 2022</t>
  </si>
  <si>
    <t xml:space="preserve">  Entretien du parking</t>
  </si>
  <si>
    <t xml:space="preserve">  Matériel de caisse</t>
  </si>
  <si>
    <t>Rendement - lb</t>
  </si>
  <si>
    <t>Production- lb</t>
  </si>
  <si>
    <t xml:space="preserve">   Entretien du parking</t>
  </si>
  <si>
    <t xml:space="preserve">   Matériel de caisse</t>
  </si>
  <si>
    <t>BUDGET DE L'ENTREPRISE: BLEUTS</t>
  </si>
  <si>
    <t>Soufre</t>
  </si>
  <si>
    <t xml:space="preserve"> Paillis - copeaux de bois</t>
  </si>
  <si>
    <t xml:space="preserve">  Insecticides</t>
  </si>
  <si>
    <t>Total insecticides</t>
  </si>
  <si>
    <t xml:space="preserve">  Paillis - copeaux de bois</t>
  </si>
  <si>
    <t>verge cube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</si>
</sst>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quot;#,##0.00_);\(&quot;$&quot;#,##0.00\)"/>
    <numFmt numFmtId="165" formatCode=";;;"/>
    <numFmt numFmtId="166" formatCode="0.00_)"/>
    <numFmt numFmtId="167" formatCode="0.000_)"/>
    <numFmt numFmtId="168" formatCode="0_)"/>
    <numFmt numFmtId="169" formatCode="0.0_)"/>
    <numFmt numFmtId="170" formatCode="0.0%"/>
    <numFmt numFmtId="171" formatCode="&quot;$&quot;#,##0_);\(&quot;$&quot;#,##0\)"/>
  </numFmts>
  <fonts count="18" x14ac:knownFonts="1">
    <font>
      <sz val="10"/>
      <name val="Arial"/>
    </font>
    <font>
      <b/>
      <sz val="9"/>
      <color indexed="8"/>
      <name val="Arial"/>
      <family val="2"/>
    </font>
    <font>
      <sz val="9"/>
      <name val="Courier New"/>
      <family val="3"/>
    </font>
    <font>
      <sz val="8"/>
      <name val="Arial"/>
      <family val="2"/>
    </font>
    <font>
      <sz val="10"/>
      <name val="Courier"/>
      <family val="3"/>
    </font>
    <font>
      <u/>
      <sz val="10"/>
      <color indexed="12"/>
      <name val="Arial"/>
      <family val="2"/>
    </font>
    <font>
      <b/>
      <sz val="8"/>
      <color indexed="81"/>
      <name val="Tahoma"/>
      <family val="2"/>
    </font>
    <font>
      <sz val="8"/>
      <color indexed="81"/>
      <name val="Tahoma"/>
      <family val="2"/>
    </font>
    <font>
      <b/>
      <sz val="12"/>
      <color indexed="8"/>
      <name val="Arial"/>
      <family val="2"/>
    </font>
    <font>
      <b/>
      <sz val="12"/>
      <color indexed="12"/>
      <name val="Arial"/>
      <family val="2"/>
    </font>
    <font>
      <b/>
      <sz val="12"/>
      <color indexed="42"/>
      <name val="Arial"/>
      <family val="2"/>
    </font>
    <font>
      <b/>
      <sz val="12"/>
      <name val="Arial"/>
      <family val="2"/>
    </font>
    <font>
      <sz val="12"/>
      <name val="Courier"/>
      <family val="3"/>
    </font>
    <font>
      <u/>
      <sz val="12"/>
      <color indexed="12"/>
      <name val="Arial"/>
      <family val="2"/>
    </font>
    <font>
      <b/>
      <sz val="11"/>
      <name val="Arial"/>
      <family val="2"/>
    </font>
    <font>
      <sz val="12"/>
      <color indexed="12"/>
      <name val="Arial"/>
      <family val="2"/>
    </font>
    <font>
      <sz val="10"/>
      <name val="Courier"/>
    </font>
    <font>
      <sz val="10"/>
      <name val="Arial"/>
      <family val="2"/>
    </font>
  </fonts>
  <fills count="8">
    <fill>
      <patternFill patternType="none"/>
    </fill>
    <fill>
      <patternFill patternType="gray125"/>
    </fill>
    <fill>
      <patternFill patternType="solid">
        <fgColor indexed="42"/>
        <bgColor indexed="42"/>
      </patternFill>
    </fill>
    <fill>
      <patternFill patternType="solid">
        <fgColor indexed="22"/>
        <bgColor indexed="64"/>
      </patternFill>
    </fill>
    <fill>
      <patternFill patternType="solid">
        <fgColor indexed="9"/>
        <bgColor indexed="42"/>
      </patternFill>
    </fill>
    <fill>
      <patternFill patternType="solid">
        <fgColor indexed="42"/>
        <bgColor indexed="64"/>
      </patternFill>
    </fill>
    <fill>
      <patternFill patternType="solid">
        <fgColor indexed="9"/>
        <bgColor indexed="64"/>
      </patternFill>
    </fill>
    <fill>
      <patternFill patternType="solid">
        <fgColor indexed="22"/>
        <bgColor indexed="42"/>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9">
    <xf numFmtId="0" fontId="0" fillId="0" borderId="0"/>
    <xf numFmtId="0" fontId="5"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16" fillId="0" borderId="0"/>
    <xf numFmtId="0" fontId="16" fillId="0" borderId="0"/>
    <xf numFmtId="0" fontId="17" fillId="0" borderId="0"/>
  </cellStyleXfs>
  <cellXfs count="164">
    <xf numFmtId="0" fontId="0" fillId="0" borderId="0" xfId="0"/>
    <xf numFmtId="0" fontId="1" fillId="0" borderId="0" xfId="0" applyFont="1"/>
    <xf numFmtId="0" fontId="2" fillId="0" borderId="0" xfId="0" applyFont="1"/>
    <xf numFmtId="168" fontId="2" fillId="0" borderId="0" xfId="0" applyNumberFormat="1" applyFont="1"/>
    <xf numFmtId="168" fontId="1" fillId="0" borderId="0" xfId="0" applyNumberFormat="1" applyFont="1" applyAlignment="1" applyProtection="1">
      <alignment horizontal="center"/>
    </xf>
    <xf numFmtId="0" fontId="1" fillId="0" borderId="0" xfId="0" applyFont="1" applyAlignment="1" applyProtection="1">
      <alignment horizontal="center"/>
    </xf>
    <xf numFmtId="0" fontId="1" fillId="0" borderId="0" xfId="0" applyFont="1" applyAlignment="1" applyProtection="1">
      <alignment horizontal="left"/>
    </xf>
    <xf numFmtId="0" fontId="1" fillId="0" borderId="0" xfId="0" applyFont="1" applyProtection="1"/>
    <xf numFmtId="165" fontId="1" fillId="0" borderId="0" xfId="0" applyNumberFormat="1" applyFont="1" applyAlignment="1" applyProtection="1">
      <alignment horizontal="center"/>
    </xf>
    <xf numFmtId="168" fontId="1" fillId="0" borderId="0" xfId="0" applyNumberFormat="1" applyFont="1" applyAlignment="1">
      <alignment horizontal="center"/>
    </xf>
    <xf numFmtId="165" fontId="2" fillId="0" borderId="0" xfId="0" applyNumberFormat="1" applyFont="1"/>
    <xf numFmtId="165" fontId="1" fillId="0" borderId="0" xfId="0" applyNumberFormat="1" applyFont="1" applyProtection="1"/>
    <xf numFmtId="166" fontId="2" fillId="0" borderId="0" xfId="0" applyNumberFormat="1" applyFont="1"/>
    <xf numFmtId="165" fontId="1" fillId="0" borderId="0" xfId="0" applyNumberFormat="1" applyFont="1" applyBorder="1" applyProtection="1"/>
    <xf numFmtId="0" fontId="2" fillId="6" borderId="0" xfId="0" applyFont="1" applyFill="1" applyBorder="1" applyAlignment="1">
      <alignment horizontal="left"/>
    </xf>
    <xf numFmtId="0" fontId="1" fillId="4" borderId="0" xfId="0" applyFont="1" applyFill="1" applyBorder="1"/>
    <xf numFmtId="0" fontId="8" fillId="2" borderId="1" xfId="0" applyFont="1" applyFill="1" applyBorder="1" applyAlignment="1" applyProtection="1">
      <alignment horizontal="left"/>
    </xf>
    <xf numFmtId="0" fontId="8" fillId="2" borderId="2" xfId="0" applyFont="1" applyFill="1" applyBorder="1"/>
    <xf numFmtId="0" fontId="8" fillId="2" borderId="2" xfId="0" applyFont="1" applyFill="1" applyBorder="1" applyAlignment="1" applyProtection="1">
      <alignment horizontal="left"/>
    </xf>
    <xf numFmtId="0" fontId="8" fillId="2" borderId="3" xfId="0" applyFont="1" applyFill="1" applyBorder="1"/>
    <xf numFmtId="165" fontId="8" fillId="2" borderId="4" xfId="0" applyNumberFormat="1" applyFont="1" applyFill="1" applyBorder="1" applyProtection="1"/>
    <xf numFmtId="0" fontId="8" fillId="2" borderId="0" xfId="0" applyFont="1" applyFill="1" applyBorder="1"/>
    <xf numFmtId="165" fontId="8" fillId="2" borderId="0" xfId="0" applyNumberFormat="1" applyFont="1" applyFill="1" applyBorder="1" applyProtection="1"/>
    <xf numFmtId="0" fontId="8" fillId="2" borderId="0" xfId="0" applyFont="1" applyFill="1" applyBorder="1" applyAlignment="1" applyProtection="1">
      <alignment horizontal="left"/>
    </xf>
    <xf numFmtId="164" fontId="8" fillId="2" borderId="5" xfId="0" applyNumberFormat="1" applyFont="1" applyFill="1" applyBorder="1" applyAlignment="1" applyProtection="1">
      <alignment horizontal="center"/>
    </xf>
    <xf numFmtId="0" fontId="8" fillId="2" borderId="4" xfId="0" applyFont="1" applyFill="1" applyBorder="1"/>
    <xf numFmtId="0" fontId="9" fillId="3" borderId="8" xfId="0" applyFont="1" applyFill="1" applyBorder="1" applyAlignment="1" applyProtection="1">
      <alignment horizontal="center"/>
      <protection locked="0"/>
    </xf>
    <xf numFmtId="0" fontId="9" fillId="6" borderId="12" xfId="2" applyFont="1" applyFill="1" applyBorder="1" applyAlignment="1" applyProtection="1">
      <alignment horizontal="left"/>
    </xf>
    <xf numFmtId="0" fontId="8" fillId="4" borderId="9" xfId="0" applyFont="1" applyFill="1" applyBorder="1" applyAlignment="1" applyProtection="1">
      <alignment horizontal="fill"/>
    </xf>
    <xf numFmtId="0" fontId="8" fillId="2" borderId="5" xfId="0" applyFont="1" applyFill="1" applyBorder="1"/>
    <xf numFmtId="0" fontId="8" fillId="2" borderId="0" xfId="3" applyFont="1" applyFill="1" applyBorder="1"/>
    <xf numFmtId="169" fontId="9" fillId="3" borderId="6" xfId="3" applyNumberFormat="1" applyFont="1" applyFill="1" applyBorder="1" applyAlignment="1" applyProtection="1">
      <alignment horizontal="center"/>
      <protection locked="0"/>
    </xf>
    <xf numFmtId="166" fontId="9" fillId="3" borderId="6" xfId="3" applyNumberFormat="1" applyFont="1" applyFill="1" applyBorder="1" applyAlignment="1" applyProtection="1">
      <alignment horizontal="center"/>
      <protection locked="0"/>
    </xf>
    <xf numFmtId="0" fontId="8" fillId="2" borderId="4" xfId="0" applyFont="1" applyFill="1" applyBorder="1" applyAlignment="1" applyProtection="1">
      <alignment horizontal="left"/>
    </xf>
    <xf numFmtId="168" fontId="8" fillId="2" borderId="0" xfId="0" applyNumberFormat="1" applyFont="1" applyFill="1" applyBorder="1" applyAlignment="1" applyProtection="1">
      <alignment horizontal="center"/>
    </xf>
    <xf numFmtId="166" fontId="8" fillId="2" borderId="0" xfId="0" applyNumberFormat="1" applyFont="1" applyFill="1" applyBorder="1" applyProtection="1"/>
    <xf numFmtId="166" fontId="9" fillId="3" borderId="6" xfId="0" applyNumberFormat="1" applyFont="1" applyFill="1" applyBorder="1" applyAlignment="1" applyProtection="1">
      <alignment horizontal="center"/>
      <protection locked="0"/>
    </xf>
    <xf numFmtId="164" fontId="8" fillId="2" borderId="0" xfId="0" applyNumberFormat="1" applyFont="1" applyFill="1" applyBorder="1" applyProtection="1"/>
    <xf numFmtId="0" fontId="9" fillId="3" borderId="6" xfId="0" applyFont="1" applyFill="1" applyBorder="1" applyAlignment="1" applyProtection="1">
      <alignment horizontal="center"/>
      <protection locked="0"/>
    </xf>
    <xf numFmtId="9" fontId="9" fillId="3" borderId="6" xfId="0" applyNumberFormat="1" applyFont="1" applyFill="1" applyBorder="1" applyAlignment="1" applyProtection="1">
      <alignment horizontal="center"/>
      <protection locked="0"/>
    </xf>
    <xf numFmtId="170" fontId="8" fillId="2" borderId="0" xfId="0" applyNumberFormat="1" applyFont="1" applyFill="1" applyBorder="1" applyProtection="1"/>
    <xf numFmtId="10" fontId="9" fillId="3" borderId="6" xfId="0" applyNumberFormat="1" applyFont="1" applyFill="1" applyBorder="1" applyAlignment="1" applyProtection="1">
      <alignment horizontal="center"/>
      <protection locked="0"/>
    </xf>
    <xf numFmtId="166" fontId="8" fillId="2" borderId="0" xfId="0" applyNumberFormat="1" applyFont="1" applyFill="1" applyBorder="1" applyAlignment="1" applyProtection="1">
      <alignment horizontal="center"/>
    </xf>
    <xf numFmtId="10" fontId="8" fillId="2" borderId="0" xfId="0" applyNumberFormat="1" applyFont="1" applyFill="1" applyBorder="1" applyAlignment="1" applyProtection="1">
      <alignment horizontal="center"/>
    </xf>
    <xf numFmtId="168" fontId="8" fillId="2" borderId="5" xfId="0" applyNumberFormat="1" applyFont="1" applyFill="1" applyBorder="1" applyProtection="1"/>
    <xf numFmtId="164" fontId="8" fillId="2" borderId="0" xfId="0" applyNumberFormat="1" applyFont="1" applyFill="1" applyBorder="1" applyAlignment="1" applyProtection="1">
      <alignment horizontal="center"/>
    </xf>
    <xf numFmtId="1" fontId="9" fillId="7" borderId="6" xfId="0" applyNumberFormat="1" applyFont="1" applyFill="1" applyBorder="1" applyAlignment="1">
      <alignment horizontal="center"/>
    </xf>
    <xf numFmtId="165" fontId="8" fillId="2" borderId="0" xfId="0" applyNumberFormat="1" applyFont="1" applyFill="1" applyBorder="1" applyAlignment="1" applyProtection="1">
      <alignment horizontal="center"/>
    </xf>
    <xf numFmtId="168" fontId="8" fillId="2" borderId="0" xfId="0" applyNumberFormat="1" applyFont="1" applyFill="1" applyBorder="1" applyProtection="1"/>
    <xf numFmtId="10" fontId="8" fillId="2" borderId="5" xfId="0" applyNumberFormat="1" applyFont="1" applyFill="1" applyBorder="1" applyProtection="1"/>
    <xf numFmtId="0" fontId="9" fillId="5" borderId="7" xfId="0" applyFont="1" applyFill="1" applyBorder="1" applyAlignment="1" applyProtection="1">
      <alignment horizontal="center"/>
      <protection locked="0"/>
    </xf>
    <xf numFmtId="166" fontId="8" fillId="2" borderId="5" xfId="0" applyNumberFormat="1" applyFont="1" applyFill="1" applyBorder="1" applyProtection="1"/>
    <xf numFmtId="0" fontId="8" fillId="2" borderId="0" xfId="0" applyFont="1" applyFill="1" applyBorder="1" applyAlignment="1" applyProtection="1">
      <alignment horizontal="center"/>
    </xf>
    <xf numFmtId="0" fontId="8" fillId="2" borderId="5" xfId="0" applyFont="1" applyFill="1" applyBorder="1" applyAlignment="1" applyProtection="1">
      <alignment horizontal="center"/>
    </xf>
    <xf numFmtId="1" fontId="8" fillId="2" borderId="4" xfId="0" applyNumberFormat="1" applyFont="1" applyFill="1" applyBorder="1" applyAlignment="1" applyProtection="1">
      <alignment horizontal="left"/>
    </xf>
    <xf numFmtId="0" fontId="8" fillId="2" borderId="0" xfId="0" applyFont="1" applyFill="1" applyBorder="1" applyAlignment="1" applyProtection="1">
      <alignment horizontal="fill"/>
    </xf>
    <xf numFmtId="2" fontId="8" fillId="2" borderId="5" xfId="0" applyNumberFormat="1" applyFont="1" applyFill="1" applyBorder="1" applyAlignment="1" applyProtection="1">
      <alignment horizontal="center"/>
    </xf>
    <xf numFmtId="1" fontId="8" fillId="2" borderId="0" xfId="0" applyNumberFormat="1" applyFont="1" applyFill="1" applyBorder="1"/>
    <xf numFmtId="0" fontId="9" fillId="5" borderId="5" xfId="0" applyFont="1" applyFill="1" applyBorder="1" applyAlignment="1" applyProtection="1">
      <alignment horizontal="left"/>
      <protection locked="0"/>
    </xf>
    <xf numFmtId="168" fontId="8" fillId="2" borderId="5" xfId="0" applyNumberFormat="1" applyFont="1" applyFill="1" applyBorder="1" applyAlignment="1" applyProtection="1">
      <alignment horizontal="center"/>
    </xf>
    <xf numFmtId="10" fontId="8" fillId="2" borderId="0" xfId="0" applyNumberFormat="1" applyFont="1" applyFill="1" applyBorder="1" applyProtection="1"/>
    <xf numFmtId="0" fontId="9" fillId="5" borderId="7" xfId="0" applyFont="1" applyFill="1" applyBorder="1" applyAlignment="1" applyProtection="1">
      <alignment horizontal="left"/>
      <protection locked="0"/>
    </xf>
    <xf numFmtId="0" fontId="9" fillId="2" borderId="7" xfId="0" applyFont="1" applyFill="1" applyBorder="1" applyProtection="1">
      <protection locked="0"/>
    </xf>
    <xf numFmtId="0" fontId="9" fillId="5" borderId="9" xfId="0" applyFont="1" applyFill="1" applyBorder="1" applyAlignment="1" applyProtection="1">
      <alignment horizontal="left"/>
      <protection locked="0"/>
    </xf>
    <xf numFmtId="0" fontId="9" fillId="2" borderId="9" xfId="0" applyFont="1" applyFill="1" applyBorder="1" applyProtection="1">
      <protection locked="0"/>
    </xf>
    <xf numFmtId="0" fontId="11" fillId="5" borderId="4" xfId="0" applyFont="1" applyFill="1" applyBorder="1" applyAlignment="1" applyProtection="1">
      <alignment horizontal="left"/>
      <protection locked="0"/>
    </xf>
    <xf numFmtId="0" fontId="9" fillId="5" borderId="0" xfId="0" applyFont="1" applyFill="1" applyBorder="1" applyAlignment="1" applyProtection="1">
      <alignment horizontal="left"/>
      <protection locked="0"/>
    </xf>
    <xf numFmtId="0" fontId="8" fillId="2" borderId="4" xfId="0" applyFont="1" applyFill="1" applyBorder="1" applyProtection="1"/>
    <xf numFmtId="0" fontId="8" fillId="2" borderId="5" xfId="0" applyFont="1" applyFill="1" applyBorder="1" applyAlignment="1" applyProtection="1">
      <alignment horizontal="right"/>
    </xf>
    <xf numFmtId="0" fontId="8" fillId="2" borderId="10" xfId="0" applyFont="1" applyFill="1" applyBorder="1" applyAlignment="1" applyProtection="1">
      <alignment horizontal="left"/>
    </xf>
    <xf numFmtId="0" fontId="8" fillId="2" borderId="7" xfId="0" applyFont="1" applyFill="1" applyBorder="1"/>
    <xf numFmtId="166" fontId="8" fillId="2" borderId="7" xfId="0" applyNumberFormat="1" applyFont="1" applyFill="1" applyBorder="1" applyProtection="1"/>
    <xf numFmtId="168" fontId="8" fillId="2" borderId="7" xfId="0" applyNumberFormat="1" applyFont="1" applyFill="1" applyBorder="1" applyAlignment="1" applyProtection="1">
      <alignment horizontal="center"/>
    </xf>
    <xf numFmtId="168" fontId="8" fillId="2" borderId="11" xfId="0" applyNumberFormat="1" applyFont="1" applyFill="1" applyBorder="1" applyAlignment="1" applyProtection="1">
      <alignment horizontal="center"/>
    </xf>
    <xf numFmtId="0" fontId="8" fillId="2" borderId="4" xfId="0" applyFont="1" applyFill="1" applyBorder="1" applyAlignment="1" applyProtection="1">
      <alignment horizontal="fill"/>
    </xf>
    <xf numFmtId="0" fontId="8" fillId="2" borderId="5" xfId="0" applyFont="1" applyFill="1" applyBorder="1" applyAlignment="1" applyProtection="1">
      <alignment horizontal="fill"/>
    </xf>
    <xf numFmtId="0" fontId="9" fillId="2" borderId="7" xfId="0" applyFont="1" applyFill="1" applyBorder="1"/>
    <xf numFmtId="0" fontId="9" fillId="2" borderId="9" xfId="0" applyFont="1" applyFill="1" applyBorder="1"/>
    <xf numFmtId="0" fontId="9" fillId="5" borderId="11" xfId="0" applyFont="1" applyFill="1" applyBorder="1" applyAlignment="1" applyProtection="1">
      <alignment horizontal="left"/>
      <protection locked="0"/>
    </xf>
    <xf numFmtId="0" fontId="9" fillId="2" borderId="0" xfId="0" applyFont="1" applyFill="1" applyBorder="1"/>
    <xf numFmtId="168" fontId="9" fillId="2" borderId="9" xfId="0" applyNumberFormat="1" applyFont="1" applyFill="1" applyBorder="1" applyProtection="1"/>
    <xf numFmtId="165" fontId="8" fillId="2" borderId="5" xfId="0" applyNumberFormat="1" applyFont="1" applyFill="1" applyBorder="1" applyProtection="1"/>
    <xf numFmtId="0" fontId="10" fillId="2" borderId="0" xfId="0" applyFont="1" applyFill="1" applyBorder="1" applyAlignment="1" applyProtection="1">
      <alignment horizontal="center"/>
    </xf>
    <xf numFmtId="168" fontId="10" fillId="2" borderId="0" xfId="0" applyNumberFormat="1" applyFont="1" applyFill="1" applyBorder="1" applyAlignment="1" applyProtection="1">
      <alignment horizontal="center"/>
    </xf>
    <xf numFmtId="0" fontId="10" fillId="2" borderId="0" xfId="0" applyFont="1" applyFill="1" applyBorder="1"/>
    <xf numFmtId="166" fontId="10" fillId="2" borderId="0" xfId="0" applyNumberFormat="1" applyFont="1" applyFill="1" applyBorder="1" applyProtection="1"/>
    <xf numFmtId="166" fontId="9" fillId="5" borderId="0" xfId="0" applyNumberFormat="1" applyFont="1" applyFill="1" applyBorder="1" applyAlignment="1" applyProtection="1">
      <alignment horizontal="center"/>
      <protection locked="0"/>
    </xf>
    <xf numFmtId="0" fontId="9" fillId="5" borderId="0" xfId="0" applyFont="1" applyFill="1" applyBorder="1" applyAlignment="1" applyProtection="1">
      <alignment horizontal="center"/>
      <protection locked="0"/>
    </xf>
    <xf numFmtId="0" fontId="8" fillId="2" borderId="5" xfId="0" applyFont="1" applyFill="1" applyBorder="1" applyAlignment="1" applyProtection="1">
      <alignment horizontal="left"/>
    </xf>
    <xf numFmtId="37" fontId="8" fillId="2" borderId="0" xfId="0" applyNumberFormat="1" applyFont="1" applyFill="1" applyBorder="1" applyProtection="1"/>
    <xf numFmtId="37" fontId="8" fillId="2" borderId="5" xfId="0" applyNumberFormat="1" applyFont="1" applyFill="1" applyBorder="1" applyProtection="1"/>
    <xf numFmtId="9" fontId="8" fillId="2" borderId="0" xfId="0" applyNumberFormat="1" applyFont="1" applyFill="1" applyBorder="1" applyProtection="1"/>
    <xf numFmtId="0" fontId="8" fillId="2" borderId="10" xfId="0" applyFont="1" applyFill="1" applyBorder="1"/>
    <xf numFmtId="9" fontId="8" fillId="2" borderId="0" xfId="0" applyNumberFormat="1" applyFont="1" applyFill="1" applyBorder="1" applyAlignment="1" applyProtection="1">
      <alignment horizontal="center"/>
    </xf>
    <xf numFmtId="0" fontId="10" fillId="5" borderId="0" xfId="0" applyFont="1" applyFill="1" applyBorder="1" applyAlignment="1" applyProtection="1">
      <alignment horizontal="center"/>
      <protection locked="0"/>
    </xf>
    <xf numFmtId="0" fontId="11" fillId="5" borderId="0" xfId="0" applyFont="1" applyFill="1" applyBorder="1" applyAlignment="1" applyProtection="1"/>
    <xf numFmtId="0" fontId="11" fillId="5" borderId="0" xfId="0" applyFont="1" applyFill="1" applyBorder="1" applyAlignment="1" applyProtection="1">
      <alignment horizontal="right"/>
    </xf>
    <xf numFmtId="0" fontId="11" fillId="5" borderId="0" xfId="0" applyFont="1" applyFill="1" applyBorder="1" applyAlignment="1" applyProtection="1">
      <alignment horizontal="left"/>
    </xf>
    <xf numFmtId="166" fontId="11" fillId="5" borderId="5" xfId="0" applyNumberFormat="1" applyFont="1" applyFill="1" applyBorder="1" applyAlignment="1" applyProtection="1">
      <alignment horizontal="center"/>
    </xf>
    <xf numFmtId="165" fontId="8" fillId="2" borderId="5" xfId="0" applyNumberFormat="1" applyFont="1" applyFill="1" applyBorder="1" applyAlignment="1" applyProtection="1">
      <alignment horizontal="left"/>
    </xf>
    <xf numFmtId="0" fontId="8" fillId="2" borderId="0" xfId="0" applyFont="1" applyFill="1" applyBorder="1" applyAlignment="1">
      <alignment horizontal="center"/>
    </xf>
    <xf numFmtId="0" fontId="12" fillId="0" borderId="1" xfId="0" applyFont="1" applyBorder="1"/>
    <xf numFmtId="0" fontId="8" fillId="4" borderId="2" xfId="0" applyFont="1" applyFill="1" applyBorder="1" applyAlignment="1" applyProtection="1">
      <alignment horizontal="fill"/>
    </xf>
    <xf numFmtId="0" fontId="8" fillId="4" borderId="3" xfId="0" applyFont="1" applyFill="1" applyBorder="1" applyAlignment="1" applyProtection="1">
      <alignment horizontal="fill"/>
    </xf>
    <xf numFmtId="0" fontId="8" fillId="4" borderId="4" xfId="0" quotePrefix="1" applyFont="1" applyFill="1" applyBorder="1" applyAlignment="1">
      <alignment horizontal="left"/>
    </xf>
    <xf numFmtId="0" fontId="8" fillId="4" borderId="0" xfId="0" applyFont="1" applyFill="1" applyBorder="1"/>
    <xf numFmtId="0" fontId="8" fillId="4" borderId="4" xfId="0" quotePrefix="1" applyFont="1" applyFill="1" applyBorder="1" applyAlignment="1">
      <alignment horizontal="center"/>
    </xf>
    <xf numFmtId="0" fontId="8" fillId="4" borderId="5" xfId="0" applyFont="1" applyFill="1" applyBorder="1"/>
    <xf numFmtId="0" fontId="8" fillId="4" borderId="4" xfId="0" applyFont="1" applyFill="1" applyBorder="1"/>
    <xf numFmtId="0" fontId="8" fillId="4" borderId="4" xfId="0" quotePrefix="1" applyFont="1" applyFill="1" applyBorder="1" applyAlignment="1" applyProtection="1">
      <alignment horizontal="center"/>
    </xf>
    <xf numFmtId="9" fontId="8" fillId="4" borderId="0" xfId="0" applyNumberFormat="1" applyFont="1" applyFill="1" applyBorder="1" applyProtection="1"/>
    <xf numFmtId="0" fontId="12" fillId="0" borderId="4" xfId="0" applyFont="1" applyBorder="1"/>
    <xf numFmtId="0" fontId="13" fillId="4" borderId="4" xfId="1" applyFont="1" applyFill="1" applyBorder="1" applyAlignment="1" applyProtection="1">
      <alignment horizontal="center"/>
    </xf>
    <xf numFmtId="0" fontId="8" fillId="4" borderId="10" xfId="0" applyFont="1" applyFill="1" applyBorder="1"/>
    <xf numFmtId="0" fontId="8" fillId="4" borderId="7" xfId="0" applyFont="1" applyFill="1" applyBorder="1"/>
    <xf numFmtId="9" fontId="8" fillId="4" borderId="7" xfId="0" applyNumberFormat="1" applyFont="1" applyFill="1" applyBorder="1" applyProtection="1"/>
    <xf numFmtId="168" fontId="8" fillId="4" borderId="7" xfId="0" applyNumberFormat="1" applyFont="1" applyFill="1" applyBorder="1" applyProtection="1"/>
    <xf numFmtId="168" fontId="8" fillId="4" borderId="11" xfId="0" applyNumberFormat="1" applyFont="1" applyFill="1" applyBorder="1" applyProtection="1"/>
    <xf numFmtId="0" fontId="14" fillId="0" borderId="0" xfId="0" applyFont="1"/>
    <xf numFmtId="0" fontId="11" fillId="0" borderId="0" xfId="4" applyFont="1"/>
    <xf numFmtId="171" fontId="8" fillId="2" borderId="0" xfId="0" applyNumberFormat="1" applyFont="1" applyFill="1" applyBorder="1" applyAlignment="1" applyProtection="1">
      <alignment horizontal="center"/>
    </xf>
    <xf numFmtId="0" fontId="8" fillId="2" borderId="13" xfId="0" applyFont="1" applyFill="1" applyBorder="1"/>
    <xf numFmtId="0" fontId="8" fillId="2" borderId="14" xfId="0" applyFont="1" applyFill="1" applyBorder="1" applyAlignment="1" applyProtection="1">
      <alignment horizontal="left"/>
    </xf>
    <xf numFmtId="0" fontId="8" fillId="2" borderId="15" xfId="0" applyFont="1" applyFill="1" applyBorder="1"/>
    <xf numFmtId="166" fontId="8" fillId="2" borderId="15" xfId="0" applyNumberFormat="1" applyFont="1" applyFill="1" applyBorder="1" applyProtection="1"/>
    <xf numFmtId="168" fontId="8" fillId="2" borderId="15" xfId="0" applyNumberFormat="1" applyFont="1" applyFill="1" applyBorder="1" applyAlignment="1" applyProtection="1">
      <alignment horizontal="center"/>
    </xf>
    <xf numFmtId="168" fontId="8" fillId="2" borderId="16" xfId="0" applyNumberFormat="1" applyFont="1" applyFill="1" applyBorder="1" applyAlignment="1" applyProtection="1">
      <alignment horizontal="center"/>
    </xf>
    <xf numFmtId="0" fontId="8" fillId="2" borderId="17" xfId="0" applyFont="1" applyFill="1" applyBorder="1" applyAlignment="1" applyProtection="1">
      <alignment horizontal="left"/>
    </xf>
    <xf numFmtId="168" fontId="8" fillId="2" borderId="18" xfId="0" applyNumberFormat="1" applyFont="1" applyFill="1" applyBorder="1" applyAlignment="1" applyProtection="1">
      <alignment horizontal="center"/>
    </xf>
    <xf numFmtId="0" fontId="8" fillId="2" borderId="19" xfId="0" applyFont="1" applyFill="1" applyBorder="1" applyAlignment="1" applyProtection="1">
      <alignment horizontal="left"/>
    </xf>
    <xf numFmtId="166" fontId="8" fillId="2" borderId="13" xfId="0" applyNumberFormat="1" applyFont="1" applyFill="1" applyBorder="1" applyProtection="1"/>
    <xf numFmtId="165" fontId="8" fillId="2" borderId="13" xfId="0" applyNumberFormat="1" applyFont="1" applyFill="1" applyBorder="1" applyProtection="1"/>
    <xf numFmtId="0" fontId="8" fillId="2" borderId="20" xfId="0" applyFont="1" applyFill="1" applyBorder="1" applyAlignment="1" applyProtection="1">
      <alignment horizontal="center"/>
    </xf>
    <xf numFmtId="0" fontId="11" fillId="2" borderId="0" xfId="0" applyFont="1" applyFill="1" applyBorder="1" applyAlignment="1" applyProtection="1">
      <alignment horizontal="left"/>
    </xf>
    <xf numFmtId="0" fontId="11" fillId="2" borderId="0" xfId="0" applyFont="1" applyFill="1" applyBorder="1" applyProtection="1"/>
    <xf numFmtId="0" fontId="11" fillId="2" borderId="5" xfId="0" applyFont="1" applyFill="1" applyBorder="1" applyAlignment="1" applyProtection="1">
      <alignment horizontal="left"/>
    </xf>
    <xf numFmtId="0" fontId="15" fillId="0" borderId="7" xfId="1" applyFont="1" applyFill="1" applyBorder="1" applyAlignment="1" applyProtection="1">
      <alignment horizontal="center"/>
    </xf>
    <xf numFmtId="0" fontId="8" fillId="4" borderId="0" xfId="5" applyFont="1" applyFill="1" applyBorder="1" applyProtection="1"/>
    <xf numFmtId="0" fontId="1" fillId="4" borderId="0" xfId="5" applyFont="1" applyFill="1" applyBorder="1"/>
    <xf numFmtId="0" fontId="1" fillId="4" borderId="0" xfId="5" applyFont="1" applyFill="1" applyBorder="1" applyProtection="1"/>
    <xf numFmtId="166" fontId="1" fillId="4" borderId="0" xfId="5" applyNumberFormat="1" applyFont="1" applyFill="1" applyBorder="1" applyProtection="1"/>
    <xf numFmtId="0" fontId="8" fillId="2" borderId="4" xfId="6" applyFont="1" applyFill="1" applyBorder="1" applyAlignment="1" applyProtection="1">
      <alignment horizontal="left"/>
    </xf>
    <xf numFmtId="171" fontId="8" fillId="2" borderId="5" xfId="0" applyNumberFormat="1" applyFont="1" applyFill="1" applyBorder="1" applyAlignment="1" applyProtection="1">
      <alignment horizontal="center"/>
    </xf>
    <xf numFmtId="0" fontId="8" fillId="2" borderId="0" xfId="7" applyFont="1" applyFill="1" applyBorder="1" applyAlignment="1" applyProtection="1">
      <alignment horizontal="left"/>
    </xf>
    <xf numFmtId="0" fontId="8" fillId="2" borderId="0" xfId="7" applyFont="1" applyFill="1" applyBorder="1"/>
    <xf numFmtId="0" fontId="8" fillId="2" borderId="0" xfId="7" applyFont="1" applyFill="1" applyBorder="1" applyAlignment="1" applyProtection="1">
      <alignment horizontal="center"/>
    </xf>
    <xf numFmtId="0" fontId="8" fillId="2" borderId="0" xfId="7" applyFont="1" applyFill="1" applyBorder="1" applyAlignment="1">
      <alignment horizontal="center"/>
    </xf>
    <xf numFmtId="0" fontId="8" fillId="2" borderId="2" xfId="0" applyFont="1" applyFill="1" applyBorder="1" applyAlignment="1">
      <alignment horizontal="left"/>
    </xf>
    <xf numFmtId="0" fontId="9" fillId="2" borderId="0" xfId="0" applyFont="1" applyFill="1" applyBorder="1" applyProtection="1">
      <protection locked="0"/>
    </xf>
    <xf numFmtId="0" fontId="8" fillId="2" borderId="4" xfId="4" applyFont="1" applyFill="1" applyBorder="1" applyAlignment="1">
      <alignment horizontal="left"/>
    </xf>
    <xf numFmtId="0" fontId="8" fillId="4" borderId="0" xfId="0" applyFont="1" applyFill="1" applyBorder="1" applyAlignment="1" applyProtection="1">
      <alignment horizontal="center"/>
    </xf>
    <xf numFmtId="166" fontId="9" fillId="3" borderId="6" xfId="8" applyNumberFormat="1"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166" fontId="9" fillId="3" borderId="6" xfId="8" applyNumberFormat="1"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166" fontId="9" fillId="3" borderId="6" xfId="8" applyNumberFormat="1"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167" fontId="9" fillId="3" borderId="6" xfId="8" applyNumberFormat="1" applyFont="1" applyFill="1" applyBorder="1" applyAlignment="1" applyProtection="1">
      <alignment horizontal="center"/>
      <protection locked="0"/>
    </xf>
    <xf numFmtId="166" fontId="9" fillId="3" borderId="6" xfId="8" applyNumberFormat="1"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0" fontId="9" fillId="3" borderId="6" xfId="8" applyFont="1" applyFill="1" applyBorder="1" applyAlignment="1" applyProtection="1">
      <alignment horizontal="center"/>
      <protection locked="0"/>
    </xf>
    <xf numFmtId="167" fontId="9" fillId="3" borderId="6" xfId="8" applyNumberFormat="1" applyFont="1" applyFill="1" applyBorder="1" applyAlignment="1" applyProtection="1">
      <alignment horizontal="center"/>
      <protection locked="0"/>
    </xf>
  </cellXfs>
  <cellStyles count="9">
    <cellStyle name="Hyperlink" xfId="1" builtinId="8"/>
    <cellStyle name="Normal" xfId="0" builtinId="0"/>
    <cellStyle name="Normal 2" xfId="8" xr:uid="{C174BD61-249C-42F7-BBCE-21FED1B64A74}"/>
    <cellStyle name="Normal_APPLE" xfId="2" xr:uid="{00000000-0005-0000-0000-000002000000}"/>
    <cellStyle name="Normal_FrPeach" xfId="3" xr:uid="{00000000-0005-0000-0000-000004000000}"/>
    <cellStyle name="Normal_Oats" xfId="5" xr:uid="{E3AC663C-25FC-4C36-8079-F89A3F89E20E}"/>
    <cellStyle name="Normal_Raspc2" xfId="4" xr:uid="{00000000-0005-0000-0000-000005000000}"/>
    <cellStyle name="Normal_Wwheat" xfId="7" xr:uid="{36C06DE2-16F4-40DB-A2FD-F718B92A9774}"/>
    <cellStyle name="Normal_Yplum" xfId="6" xr:uid="{22ADC52E-0C8A-4F17-84EE-515F702D1E98}"/>
  </cellStyles>
  <dxfs count="3">
    <dxf>
      <fill>
        <patternFill>
          <bgColor indexed="10"/>
        </patternFill>
      </fill>
    </dxf>
    <dxf>
      <fill>
        <patternFill>
          <bgColor indexed="13"/>
        </patternFill>
      </fill>
    </dxf>
    <dxf>
      <fill>
        <patternFill>
          <bgColor indexed="5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541503</xdr:colOff>
      <xdr:row>2</xdr:row>
      <xdr:rowOff>217668</xdr:rowOff>
    </xdr:to>
    <xdr:pic>
      <xdr:nvPicPr>
        <xdr:cNvPr id="3" name="Picture 2" descr="This is the Ontario Trillium logo">
          <a:extLst>
            <a:ext uri="{FF2B5EF4-FFF2-40B4-BE49-F238E27FC236}">
              <a16:creationId xmlns:a16="http://schemas.microsoft.com/office/drawing/2014/main" id="{D7040A99-EB68-4102-A8A1-39DBDB6E07C2}"/>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252" b="22785"/>
        <a:stretch/>
      </xdr:blipFill>
      <xdr:spPr>
        <a:xfrm>
          <a:off x="0" y="200025"/>
          <a:ext cx="1779753" cy="4176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g.info.omafra@ontario.ca"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dimension ref="A1:AB225"/>
  <sheetViews>
    <sheetView showGridLines="0" tabSelected="1" zoomScaleNormal="100" zoomScaleSheetLayoutView="100" workbookViewId="0">
      <selection activeCell="C12" sqref="C12"/>
    </sheetView>
  </sheetViews>
  <sheetFormatPr defaultColWidth="11" defaultRowHeight="12" x14ac:dyDescent="0.35"/>
  <cols>
    <col min="1" max="1" width="18.53515625" style="2" customWidth="1"/>
    <col min="2" max="2" width="18.15234375" style="2" customWidth="1"/>
    <col min="3" max="3" width="18.53515625" style="2" customWidth="1"/>
    <col min="4" max="4" width="17.3828125" style="2" customWidth="1"/>
    <col min="5" max="5" width="17.15234375" style="2" customWidth="1"/>
    <col min="6" max="6" width="20.3828125" style="2" customWidth="1"/>
    <col min="7" max="7" width="15.69140625" style="2" customWidth="1"/>
    <col min="8" max="8" width="19.84375" style="2" customWidth="1"/>
    <col min="9" max="9" width="14.3046875" style="2" hidden="1" customWidth="1"/>
    <col min="10" max="27" width="9.15234375" style="2" hidden="1" customWidth="1"/>
    <col min="28" max="28" width="11" style="2" hidden="1" customWidth="1"/>
    <col min="29" max="40" width="11" style="2" customWidth="1"/>
    <col min="41" max="41" width="13.3046875" style="2" customWidth="1"/>
    <col min="42" max="49" width="8.69140625" style="2" customWidth="1"/>
    <col min="50" max="50" width="6.3828125" style="2" customWidth="1"/>
    <col min="51" max="240" width="11" style="2" customWidth="1"/>
    <col min="241" max="241" width="8.69140625" style="2" customWidth="1"/>
    <col min="242" max="242" width="3" style="2" customWidth="1"/>
    <col min="243" max="249" width="11" style="2" customWidth="1"/>
    <col min="250" max="250" width="8.69140625" style="2" customWidth="1"/>
    <col min="251" max="251" width="3" style="2" customWidth="1"/>
    <col min="252" max="16384" width="11" style="2"/>
  </cols>
  <sheetData>
    <row r="1" spans="1:27" s="118" customFormat="1" ht="15.45" x14ac:dyDescent="0.4">
      <c r="A1" s="119" t="s">
        <v>49</v>
      </c>
    </row>
    <row r="2" spans="1:27" ht="15.45" x14ac:dyDescent="0.4">
      <c r="A2" s="16"/>
      <c r="B2" s="17"/>
      <c r="C2" s="147" t="s">
        <v>171</v>
      </c>
      <c r="D2" s="17"/>
      <c r="E2" s="17"/>
      <c r="F2" s="17"/>
      <c r="G2" s="18" t="s">
        <v>164</v>
      </c>
      <c r="H2" s="19"/>
      <c r="I2" s="1"/>
      <c r="J2" s="1"/>
      <c r="K2" s="1"/>
      <c r="L2" s="1"/>
      <c r="AA2" s="3">
        <f ca="1">E141</f>
        <v>6002.9270270270354</v>
      </c>
    </row>
    <row r="3" spans="1:27" ht="22.5" customHeight="1" x14ac:dyDescent="0.4">
      <c r="A3" s="20">
        <v>801</v>
      </c>
      <c r="B3" s="21"/>
      <c r="C3" s="21"/>
      <c r="D3" s="22"/>
      <c r="E3" s="21"/>
      <c r="F3" s="23" t="s">
        <v>51</v>
      </c>
      <c r="G3" s="21"/>
      <c r="H3" s="142">
        <f ca="1">AA2</f>
        <v>6002.9270270270354</v>
      </c>
      <c r="I3" s="1"/>
      <c r="J3" s="1"/>
      <c r="K3" s="1"/>
      <c r="L3" s="1"/>
      <c r="AA3" s="2">
        <f>C7*D4</f>
        <v>70000</v>
      </c>
    </row>
    <row r="4" spans="1:27" ht="15" customHeight="1" x14ac:dyDescent="0.4">
      <c r="A4" s="25"/>
      <c r="B4" s="23" t="s">
        <v>50</v>
      </c>
      <c r="C4" s="21"/>
      <c r="D4" s="26">
        <v>7</v>
      </c>
      <c r="E4" s="21"/>
      <c r="F4" s="23"/>
      <c r="G4" s="21"/>
      <c r="H4" s="24"/>
      <c r="I4" s="1"/>
      <c r="J4" s="1"/>
      <c r="K4" s="1"/>
      <c r="L4" s="133" t="s">
        <v>0</v>
      </c>
      <c r="M4" s="134">
        <v>2205</v>
      </c>
      <c r="N4" s="135" t="s">
        <v>43</v>
      </c>
      <c r="AA4" s="2">
        <f>E7*D4</f>
        <v>56000</v>
      </c>
    </row>
    <row r="5" spans="1:27" ht="15.45" x14ac:dyDescent="0.4">
      <c r="A5" s="27" t="s">
        <v>52</v>
      </c>
      <c r="B5" s="28"/>
      <c r="C5" s="28"/>
      <c r="D5" s="28"/>
      <c r="E5" s="28"/>
      <c r="F5" s="28"/>
      <c r="G5" s="28"/>
      <c r="H5" s="28"/>
      <c r="I5" s="1"/>
      <c r="J5" s="1"/>
      <c r="K5" s="1"/>
      <c r="L5" s="1"/>
      <c r="AA5" s="2">
        <f>G7*D4</f>
        <v>42000</v>
      </c>
    </row>
    <row r="6" spans="1:27" ht="18.75" customHeight="1" x14ac:dyDescent="0.4">
      <c r="A6" s="25"/>
      <c r="B6" s="21"/>
      <c r="C6" s="143" t="s">
        <v>53</v>
      </c>
      <c r="D6" s="144"/>
      <c r="E6" s="145" t="s">
        <v>54</v>
      </c>
      <c r="F6" s="146"/>
      <c r="G6" s="145" t="s">
        <v>55</v>
      </c>
      <c r="H6" s="29"/>
      <c r="I6" s="1"/>
      <c r="J6" s="1"/>
      <c r="K6" s="1"/>
      <c r="L6" s="1"/>
      <c r="AA6" s="2">
        <f>E7*D13</f>
        <v>7.9999999999999993E-4</v>
      </c>
    </row>
    <row r="7" spans="1:27" ht="15.45" x14ac:dyDescent="0.4">
      <c r="A7" s="141" t="s">
        <v>167</v>
      </c>
      <c r="B7" s="30"/>
      <c r="C7" s="31">
        <v>10000</v>
      </c>
      <c r="D7" s="30"/>
      <c r="E7" s="31">
        <v>8000</v>
      </c>
      <c r="F7" s="30"/>
      <c r="G7" s="31">
        <v>6000</v>
      </c>
      <c r="H7" s="29"/>
      <c r="I7" s="1"/>
      <c r="J7" s="1"/>
      <c r="K7" s="1"/>
      <c r="L7" s="1"/>
      <c r="AA7" s="2">
        <f>IF(D17&lt;0.0001,0.0001,IF(D17&gt;1,1,D17))</f>
        <v>1E-4</v>
      </c>
    </row>
    <row r="8" spans="1:27" ht="15.45" x14ac:dyDescent="0.4">
      <c r="A8" s="141" t="s">
        <v>155</v>
      </c>
      <c r="B8" s="30"/>
      <c r="C8" s="32">
        <v>4.25</v>
      </c>
      <c r="D8" s="30"/>
      <c r="E8" s="32">
        <v>3.5</v>
      </c>
      <c r="F8" s="30"/>
      <c r="G8" s="32">
        <v>3.25</v>
      </c>
      <c r="H8" s="29"/>
      <c r="I8" s="1"/>
      <c r="J8" s="1"/>
      <c r="K8" s="1"/>
      <c r="L8" s="1"/>
      <c r="AA8" s="3">
        <f>F135</f>
        <v>0</v>
      </c>
    </row>
    <row r="9" spans="1:27" ht="15.45" x14ac:dyDescent="0.4">
      <c r="A9" s="141" t="s">
        <v>168</v>
      </c>
      <c r="B9" s="21"/>
      <c r="C9" s="34">
        <f>AA3</f>
        <v>70000</v>
      </c>
      <c r="D9" s="21"/>
      <c r="E9" s="34">
        <f>AA4</f>
        <v>56000</v>
      </c>
      <c r="F9" s="21"/>
      <c r="G9" s="34">
        <f>AA5</f>
        <v>42000</v>
      </c>
      <c r="H9" s="29"/>
      <c r="I9" s="1"/>
      <c r="J9" s="1"/>
      <c r="K9" s="1"/>
      <c r="L9" s="1"/>
      <c r="AA9" s="2">
        <f>E8*(D17*(D14-E7)+((C7-G7)/2)*EXP(-0.5*((D14-E7)/((C7-G7)/2))^2)/SQRT(2*PI()))</f>
        <v>4.1020589806770535E-2</v>
      </c>
    </row>
    <row r="10" spans="1:27" ht="15.45" x14ac:dyDescent="0.4">
      <c r="A10" s="28"/>
      <c r="B10" s="28"/>
      <c r="C10" s="28"/>
      <c r="D10" s="28"/>
      <c r="E10" s="28"/>
      <c r="F10" s="28"/>
      <c r="G10" s="28"/>
      <c r="H10" s="28"/>
      <c r="I10" s="1"/>
      <c r="J10" s="1"/>
      <c r="K10" s="1"/>
      <c r="L10" s="1"/>
      <c r="AA10" s="3">
        <f ca="1">H119</f>
        <v>128310.51081081075</v>
      </c>
    </row>
    <row r="11" spans="1:27" ht="15.45" x14ac:dyDescent="0.4">
      <c r="A11" s="33" t="s">
        <v>56</v>
      </c>
      <c r="B11" s="21"/>
      <c r="C11" s="21"/>
      <c r="D11" s="21"/>
      <c r="E11" s="21"/>
      <c r="F11" s="21"/>
      <c r="G11" s="21"/>
      <c r="H11" s="29"/>
      <c r="I11" s="1"/>
      <c r="J11" s="1"/>
      <c r="K11" s="1"/>
      <c r="L11" s="1"/>
      <c r="AA11" s="2">
        <f>(EXP(-0.5*((E7-D14)/((C7-G7)/2))^2)/SQRT(2*PI()))*(0.43618*(K33^(-1))-0.1202*(K33^(-2))+0.9373*(K33^(-3)))</f>
        <v>3.1992592108083458E-5</v>
      </c>
    </row>
    <row r="12" spans="1:27" ht="15.45" x14ac:dyDescent="0.4">
      <c r="A12" s="33" t="s">
        <v>57</v>
      </c>
      <c r="B12" s="21"/>
      <c r="C12" s="35"/>
      <c r="D12" s="36">
        <v>9.9999999999999995E-7</v>
      </c>
      <c r="E12" s="23" t="s">
        <v>63</v>
      </c>
      <c r="F12" s="37"/>
      <c r="G12" s="35"/>
      <c r="H12" s="38">
        <v>30</v>
      </c>
      <c r="I12" s="1"/>
      <c r="J12" s="1"/>
      <c r="K12" s="1"/>
      <c r="L12" s="1"/>
      <c r="AA12" s="3">
        <f ca="1">H131</f>
        <v>25669</v>
      </c>
    </row>
    <row r="13" spans="1:27" ht="15.45" x14ac:dyDescent="0.4">
      <c r="A13" s="33" t="s">
        <v>58</v>
      </c>
      <c r="B13" s="21"/>
      <c r="C13" s="35"/>
      <c r="D13" s="39">
        <v>9.9999999999999995E-8</v>
      </c>
      <c r="E13" s="23" t="s">
        <v>64</v>
      </c>
      <c r="F13" s="37"/>
      <c r="G13" s="40"/>
      <c r="H13" s="41">
        <v>0.04</v>
      </c>
      <c r="I13" s="1"/>
      <c r="J13" s="1"/>
      <c r="K13" s="1"/>
      <c r="L13" s="1"/>
      <c r="AA13" s="3">
        <f>F134</f>
        <v>196000</v>
      </c>
    </row>
    <row r="14" spans="1:27" ht="15.45" x14ac:dyDescent="0.4">
      <c r="A14" s="33" t="s">
        <v>59</v>
      </c>
      <c r="B14" s="21"/>
      <c r="C14" s="21"/>
      <c r="D14" s="42">
        <f>AA6</f>
        <v>7.9999999999999993E-4</v>
      </c>
      <c r="E14" s="23" t="s">
        <v>65</v>
      </c>
      <c r="F14" s="37"/>
      <c r="G14" s="21"/>
      <c r="H14" s="41">
        <v>0.03</v>
      </c>
      <c r="I14" s="1"/>
      <c r="J14" s="1"/>
      <c r="K14" s="1"/>
      <c r="L14" s="1"/>
      <c r="AA14" s="2">
        <f>D4*I150</f>
        <v>56868.268832451722</v>
      </c>
    </row>
    <row r="15" spans="1:27" ht="15.45" x14ac:dyDescent="0.4">
      <c r="A15" s="33" t="s">
        <v>60</v>
      </c>
      <c r="B15" s="21"/>
      <c r="C15" s="21"/>
      <c r="D15" s="43">
        <f>AA7</f>
        <v>1E-4</v>
      </c>
      <c r="E15" s="21"/>
      <c r="F15" s="37"/>
      <c r="G15" s="21"/>
      <c r="H15" s="44"/>
      <c r="I15" s="1"/>
      <c r="J15" s="1"/>
      <c r="K15" s="4">
        <f>AA8</f>
        <v>0</v>
      </c>
      <c r="L15" s="1"/>
      <c r="AA15" s="2">
        <f>D4*E7/M4</f>
        <v>25.396825396825395</v>
      </c>
    </row>
    <row r="16" spans="1:27" ht="15.45" x14ac:dyDescent="0.4">
      <c r="A16" s="33" t="s">
        <v>61</v>
      </c>
      <c r="B16" s="21"/>
      <c r="C16" s="21"/>
      <c r="D16" s="45">
        <f>AA9</f>
        <v>4.1020589806770535E-2</v>
      </c>
      <c r="E16" s="21" t="s">
        <v>66</v>
      </c>
      <c r="F16" s="21"/>
      <c r="G16" s="21"/>
      <c r="H16" s="46">
        <v>4</v>
      </c>
      <c r="I16" s="1"/>
      <c r="J16" s="1"/>
      <c r="K16" s="4">
        <f ca="1">AA10</f>
        <v>128310.51081081075</v>
      </c>
      <c r="L16" s="1"/>
      <c r="AA16" s="2">
        <f>E8*M4</f>
        <v>7717.5</v>
      </c>
    </row>
    <row r="17" spans="1:28" ht="15.45" x14ac:dyDescent="0.4">
      <c r="A17" s="33"/>
      <c r="B17" s="21"/>
      <c r="C17" s="21"/>
      <c r="D17" s="47">
        <f>AA11</f>
        <v>3.1992592108083458E-5</v>
      </c>
      <c r="E17" s="21"/>
      <c r="F17" s="21"/>
      <c r="G17" s="48"/>
      <c r="H17" s="49"/>
      <c r="I17" s="1"/>
      <c r="J17" s="1"/>
      <c r="K17" s="4">
        <f ca="1">AA12</f>
        <v>25669</v>
      </c>
      <c r="L17" s="1"/>
      <c r="AA17" s="2">
        <f>E23*F23</f>
        <v>7260</v>
      </c>
    </row>
    <row r="18" spans="1:28" ht="15.45" x14ac:dyDescent="0.4">
      <c r="A18" s="33" t="s">
        <v>62</v>
      </c>
      <c r="B18" s="21"/>
      <c r="C18" s="21"/>
      <c r="D18" s="50" t="s">
        <v>156</v>
      </c>
      <c r="E18" s="21"/>
      <c r="F18" s="21"/>
      <c r="G18" s="21"/>
      <c r="H18" s="51"/>
      <c r="I18" s="1"/>
      <c r="J18" s="1"/>
      <c r="K18" s="4">
        <f>AA13</f>
        <v>196000</v>
      </c>
      <c r="L18" s="1"/>
      <c r="AA18" s="2">
        <f>G23*D4</f>
        <v>50820</v>
      </c>
    </row>
    <row r="19" spans="1:28" ht="15.45" x14ac:dyDescent="0.4">
      <c r="A19" s="28"/>
      <c r="B19" s="28"/>
      <c r="C19" s="28"/>
      <c r="D19" s="28"/>
      <c r="E19" s="28"/>
      <c r="F19" s="28"/>
      <c r="G19" s="28"/>
      <c r="H19" s="28"/>
      <c r="I19" s="1"/>
      <c r="J19" s="1"/>
      <c r="K19" s="5">
        <f>AA14</f>
        <v>56868.268832451722</v>
      </c>
      <c r="L19" s="1"/>
      <c r="AA19" s="2">
        <f>D4</f>
        <v>7</v>
      </c>
    </row>
    <row r="20" spans="1:28" ht="15.45" x14ac:dyDescent="0.4">
      <c r="A20" s="16" t="s">
        <v>67</v>
      </c>
      <c r="B20" s="21"/>
      <c r="C20" s="21"/>
      <c r="D20" s="52" t="s">
        <v>68</v>
      </c>
      <c r="E20" s="52" t="s">
        <v>69</v>
      </c>
      <c r="F20" s="52" t="s">
        <v>70</v>
      </c>
      <c r="G20" s="52" t="s">
        <v>71</v>
      </c>
      <c r="H20" s="53" t="s">
        <v>72</v>
      </c>
      <c r="I20" s="1"/>
      <c r="J20" s="1"/>
      <c r="K20" s="5">
        <f>AA15</f>
        <v>25.396825396825395</v>
      </c>
      <c r="L20" s="1"/>
      <c r="AA20" s="2">
        <f>E24*F24</f>
        <v>60</v>
      </c>
    </row>
    <row r="21" spans="1:28" ht="15.45" x14ac:dyDescent="0.4">
      <c r="A21" s="54"/>
      <c r="B21" s="55"/>
      <c r="C21" s="55"/>
      <c r="D21" s="52"/>
      <c r="E21" s="52"/>
      <c r="F21" s="52"/>
      <c r="G21" s="52"/>
      <c r="H21" s="56"/>
      <c r="I21" s="1"/>
      <c r="J21" s="1"/>
      <c r="K21" s="5">
        <f>AA16</f>
        <v>7717.5</v>
      </c>
      <c r="L21" s="1"/>
      <c r="AA21" s="2">
        <f>G24*D4</f>
        <v>420</v>
      </c>
    </row>
    <row r="22" spans="1:28" ht="15.45" x14ac:dyDescent="0.4">
      <c r="A22" s="33" t="s">
        <v>73</v>
      </c>
      <c r="B22" s="21"/>
      <c r="C22" s="57"/>
      <c r="D22" s="21"/>
      <c r="E22" s="21"/>
      <c r="F22" s="21"/>
      <c r="G22" s="21"/>
      <c r="H22" s="29"/>
      <c r="I22" s="1"/>
      <c r="J22" s="1"/>
      <c r="K22" s="6" t="s">
        <v>1</v>
      </c>
      <c r="L22" s="1"/>
      <c r="AA22" s="2">
        <f>E25*F25</f>
        <v>0</v>
      </c>
    </row>
    <row r="23" spans="1:28" ht="15.45" x14ac:dyDescent="0.4">
      <c r="A23" s="33" t="s">
        <v>163</v>
      </c>
      <c r="B23" s="21"/>
      <c r="C23" s="21"/>
      <c r="D23" s="58" t="s">
        <v>2</v>
      </c>
      <c r="E23" s="156">
        <v>1210</v>
      </c>
      <c r="F23" s="155">
        <v>6</v>
      </c>
      <c r="G23" s="34">
        <f>AA17</f>
        <v>7260</v>
      </c>
      <c r="H23" s="59">
        <f>AA18</f>
        <v>50820</v>
      </c>
      <c r="I23" s="1"/>
      <c r="J23" s="1"/>
      <c r="K23" s="5">
        <f>AA19</f>
        <v>7</v>
      </c>
      <c r="L23" s="1"/>
      <c r="AA23" s="2">
        <f>G25*D4</f>
        <v>0</v>
      </c>
    </row>
    <row r="24" spans="1:28" ht="15.45" x14ac:dyDescent="0.4">
      <c r="A24" s="33" t="s">
        <v>74</v>
      </c>
      <c r="B24" s="21"/>
      <c r="C24" s="21"/>
      <c r="D24" s="58" t="s">
        <v>12</v>
      </c>
      <c r="E24" s="156">
        <v>1</v>
      </c>
      <c r="F24" s="155">
        <v>60</v>
      </c>
      <c r="G24" s="34">
        <f>AA20</f>
        <v>60</v>
      </c>
      <c r="H24" s="59">
        <f>AA21</f>
        <v>420</v>
      </c>
      <c r="I24" s="1"/>
      <c r="J24" s="1"/>
      <c r="K24" s="7">
        <v>0</v>
      </c>
      <c r="L24" s="1"/>
      <c r="AA24" s="2">
        <f>SUM(H77:H81)</f>
        <v>2463.8108108108158</v>
      </c>
    </row>
    <row r="25" spans="1:28" ht="15.45" x14ac:dyDescent="0.4">
      <c r="A25" s="33" t="s">
        <v>75</v>
      </c>
      <c r="B25" s="21"/>
      <c r="C25" s="21"/>
      <c r="D25" s="58" t="s">
        <v>12</v>
      </c>
      <c r="E25" s="156">
        <v>0</v>
      </c>
      <c r="F25" s="155">
        <v>0</v>
      </c>
      <c r="G25" s="34">
        <f>AA22</f>
        <v>0</v>
      </c>
      <c r="H25" s="59">
        <f>AA23</f>
        <v>0</v>
      </c>
      <c r="I25" s="1"/>
      <c r="J25" s="1"/>
      <c r="K25" s="5">
        <f>AA24</f>
        <v>2463.8108108108158</v>
      </c>
      <c r="L25" s="1"/>
      <c r="AA25" s="2">
        <f>E26*F26</f>
        <v>1760</v>
      </c>
    </row>
    <row r="26" spans="1:28" ht="15.45" x14ac:dyDescent="0.4">
      <c r="A26" s="33" t="s">
        <v>45</v>
      </c>
      <c r="B26" s="21"/>
      <c r="C26" s="21"/>
      <c r="D26" s="58" t="s">
        <v>12</v>
      </c>
      <c r="E26" s="156">
        <v>4</v>
      </c>
      <c r="F26" s="155">
        <v>440</v>
      </c>
      <c r="G26" s="34">
        <f>AA25</f>
        <v>1760</v>
      </c>
      <c r="H26" s="59">
        <f>AA26</f>
        <v>12320</v>
      </c>
      <c r="I26" s="1"/>
      <c r="J26" s="1"/>
      <c r="K26" s="5">
        <f>AA27</f>
        <v>5551</v>
      </c>
      <c r="L26" s="1"/>
      <c r="AA26" s="2">
        <f>G26*D4</f>
        <v>12320</v>
      </c>
    </row>
    <row r="27" spans="1:28" ht="15.45" x14ac:dyDescent="0.4">
      <c r="A27" s="33" t="s">
        <v>173</v>
      </c>
      <c r="B27" s="21"/>
      <c r="C27" s="35"/>
      <c r="D27" s="58" t="s">
        <v>177</v>
      </c>
      <c r="E27" s="156">
        <v>90</v>
      </c>
      <c r="F27" s="155">
        <v>25</v>
      </c>
      <c r="G27" s="34">
        <f>AA28</f>
        <v>2250</v>
      </c>
      <c r="H27" s="59">
        <f>AA29</f>
        <v>15750</v>
      </c>
      <c r="I27" s="1"/>
      <c r="J27" s="1"/>
      <c r="K27" s="4">
        <f ca="1">AA30</f>
        <v>250580.21081081068</v>
      </c>
      <c r="L27" s="1"/>
      <c r="AA27" s="2">
        <f>SUM(H82:H91)</f>
        <v>5551</v>
      </c>
    </row>
    <row r="28" spans="1:28" ht="15.45" x14ac:dyDescent="0.4">
      <c r="A28" s="65" t="s">
        <v>157</v>
      </c>
      <c r="B28" s="21"/>
      <c r="C28" s="35"/>
      <c r="D28" s="58" t="s">
        <v>12</v>
      </c>
      <c r="E28" s="156">
        <v>1</v>
      </c>
      <c r="F28" s="155">
        <v>640</v>
      </c>
      <c r="G28" s="34">
        <f>AA34</f>
        <v>640</v>
      </c>
      <c r="H28" s="59">
        <f>AA35</f>
        <v>4480</v>
      </c>
      <c r="I28" s="1"/>
      <c r="J28" s="1"/>
      <c r="K28" s="4">
        <f>AA33</f>
        <v>4158</v>
      </c>
      <c r="L28" s="1"/>
      <c r="AA28" s="2">
        <f>E27*F27</f>
        <v>2250</v>
      </c>
    </row>
    <row r="29" spans="1:28" ht="15.45" x14ac:dyDescent="0.4">
      <c r="A29" s="65" t="s">
        <v>162</v>
      </c>
      <c r="B29" s="21"/>
      <c r="C29" s="35"/>
      <c r="D29" s="58" t="s">
        <v>12</v>
      </c>
      <c r="E29" s="156">
        <v>1</v>
      </c>
      <c r="F29" s="155">
        <v>50</v>
      </c>
      <c r="G29" s="34">
        <f>AA37</f>
        <v>50</v>
      </c>
      <c r="H29" s="59">
        <f>AA38</f>
        <v>350</v>
      </c>
      <c r="I29" s="1"/>
      <c r="J29" s="1"/>
      <c r="K29" s="8">
        <f>AA36</f>
        <v>19040</v>
      </c>
      <c r="L29" s="1"/>
      <c r="AA29" s="2">
        <f>G27*D4</f>
        <v>15750</v>
      </c>
      <c r="AB29" s="14"/>
    </row>
    <row r="30" spans="1:28" ht="15.45" x14ac:dyDescent="0.4">
      <c r="A30" s="33" t="s">
        <v>76</v>
      </c>
      <c r="B30" s="60"/>
      <c r="C30" s="21"/>
      <c r="D30" s="58" t="s">
        <v>3</v>
      </c>
      <c r="E30" s="156">
        <v>883</v>
      </c>
      <c r="F30" s="155">
        <v>19.989999999999998</v>
      </c>
      <c r="G30" s="34">
        <f>AA39</f>
        <v>17651.169999999998</v>
      </c>
      <c r="H30" s="59">
        <f>AA40</f>
        <v>123558.18999999999</v>
      </c>
      <c r="I30" s="1"/>
      <c r="J30" s="1"/>
      <c r="K30" s="1"/>
      <c r="L30" s="1"/>
      <c r="AA30" s="3">
        <f ca="1">SUM(H74:H76,H95:H126,H106:H107)-H99-H100</f>
        <v>250580.21081081068</v>
      </c>
    </row>
    <row r="31" spans="1:28" ht="15.45" x14ac:dyDescent="0.4">
      <c r="A31" s="33" t="s">
        <v>77</v>
      </c>
      <c r="B31" s="21"/>
      <c r="C31" s="21"/>
      <c r="D31" s="58" t="s">
        <v>3</v>
      </c>
      <c r="E31" s="156">
        <v>53</v>
      </c>
      <c r="F31" s="155">
        <v>22</v>
      </c>
      <c r="G31" s="34">
        <f>AA41</f>
        <v>1166</v>
      </c>
      <c r="H31" s="59">
        <f>AA42</f>
        <v>8162</v>
      </c>
      <c r="I31" s="1"/>
      <c r="J31" s="1"/>
      <c r="K31" s="1"/>
      <c r="L31" s="1"/>
    </row>
    <row r="32" spans="1:28" ht="15.45" x14ac:dyDescent="0.4">
      <c r="A32" s="33" t="s">
        <v>78</v>
      </c>
      <c r="B32" s="21"/>
      <c r="C32" s="21"/>
      <c r="D32" s="21"/>
      <c r="E32" s="21"/>
      <c r="F32" s="21"/>
      <c r="G32" s="21"/>
      <c r="H32" s="29"/>
      <c r="I32" s="1"/>
      <c r="J32" s="6" t="s">
        <v>4</v>
      </c>
      <c r="K32" s="6" t="s">
        <v>5</v>
      </c>
      <c r="L32" s="1"/>
    </row>
    <row r="33" spans="1:27" ht="15.45" x14ac:dyDescent="0.4">
      <c r="A33" s="33" t="s">
        <v>7</v>
      </c>
      <c r="B33" s="61" t="s">
        <v>158</v>
      </c>
      <c r="C33" s="62"/>
      <c r="D33" s="58" t="s">
        <v>46</v>
      </c>
      <c r="E33" s="158">
        <v>133</v>
      </c>
      <c r="F33" s="159">
        <v>2.42105263157895</v>
      </c>
      <c r="G33" s="34">
        <f>AA45</f>
        <v>322.00000000000034</v>
      </c>
      <c r="H33" s="59">
        <f>AA46</f>
        <v>2254.0000000000023</v>
      </c>
      <c r="I33" s="1"/>
      <c r="J33" s="6" t="s">
        <v>6</v>
      </c>
      <c r="K33" s="5">
        <f>AA43</f>
        <v>2.3306798669319999</v>
      </c>
      <c r="L33" s="1"/>
      <c r="AA33" s="3">
        <f>H99+H100</f>
        <v>4158</v>
      </c>
    </row>
    <row r="34" spans="1:27" ht="15.45" x14ac:dyDescent="0.4">
      <c r="A34" s="33" t="s">
        <v>9</v>
      </c>
      <c r="B34" s="63" t="s">
        <v>159</v>
      </c>
      <c r="C34" s="64"/>
      <c r="D34" s="58" t="s">
        <v>46</v>
      </c>
      <c r="E34" s="158">
        <v>390</v>
      </c>
      <c r="F34" s="159">
        <v>1.7589743589743601</v>
      </c>
      <c r="G34" s="34">
        <f>AA48</f>
        <v>686.00000000000045</v>
      </c>
      <c r="H34" s="59">
        <f>AA49</f>
        <v>4802.0000000000036</v>
      </c>
      <c r="I34" s="1"/>
      <c r="J34" s="1"/>
      <c r="K34" s="9">
        <f>AA44</f>
        <v>0</v>
      </c>
      <c r="L34" s="1"/>
      <c r="AA34" s="2">
        <f>E28*F28</f>
        <v>640</v>
      </c>
    </row>
    <row r="35" spans="1:27" ht="15.45" x14ac:dyDescent="0.4">
      <c r="A35" s="33" t="s">
        <v>10</v>
      </c>
      <c r="B35" s="63" t="s">
        <v>172</v>
      </c>
      <c r="C35" s="64"/>
      <c r="D35" s="58" t="s">
        <v>46</v>
      </c>
      <c r="E35" s="158">
        <v>622</v>
      </c>
      <c r="F35" s="159">
        <v>1.22025723472669</v>
      </c>
      <c r="G35" s="34">
        <f>AA50</f>
        <v>759.00000000000114</v>
      </c>
      <c r="H35" s="59">
        <f>AA51</f>
        <v>5313.0000000000082</v>
      </c>
      <c r="I35" s="1"/>
      <c r="J35" s="1"/>
      <c r="K35" s="9">
        <f>AA47</f>
        <v>0</v>
      </c>
      <c r="L35" s="1"/>
      <c r="AA35" s="2">
        <f>G28*D4</f>
        <v>4480</v>
      </c>
    </row>
    <row r="36" spans="1:27" ht="15.45" x14ac:dyDescent="0.4">
      <c r="A36" s="33" t="s">
        <v>174</v>
      </c>
      <c r="B36" s="21"/>
      <c r="C36" s="21"/>
      <c r="D36" s="58" t="s">
        <v>12</v>
      </c>
      <c r="E36" s="158">
        <v>1</v>
      </c>
      <c r="F36" s="157">
        <v>989</v>
      </c>
      <c r="G36" s="34">
        <f>AA52</f>
        <v>989</v>
      </c>
      <c r="H36" s="59">
        <f>AA53</f>
        <v>6923</v>
      </c>
      <c r="I36" s="1"/>
      <c r="J36" s="1"/>
      <c r="K36" s="1"/>
      <c r="L36" s="1"/>
      <c r="AA36" s="10">
        <f>SUM(H103:H105)</f>
        <v>19040</v>
      </c>
    </row>
    <row r="37" spans="1:27" ht="15.45" x14ac:dyDescent="0.4">
      <c r="A37" s="33" t="s">
        <v>79</v>
      </c>
      <c r="B37" s="21"/>
      <c r="C37" s="21"/>
      <c r="D37" s="58" t="s">
        <v>12</v>
      </c>
      <c r="E37" s="158">
        <v>1</v>
      </c>
      <c r="F37" s="157">
        <v>549</v>
      </c>
      <c r="G37" s="34">
        <f>AA54</f>
        <v>549</v>
      </c>
      <c r="H37" s="59">
        <f>AA55</f>
        <v>3843</v>
      </c>
      <c r="I37" s="1"/>
      <c r="J37" s="1"/>
      <c r="K37" s="1"/>
      <c r="L37" s="1"/>
      <c r="AA37" s="2">
        <f>E29*F29</f>
        <v>50</v>
      </c>
    </row>
    <row r="38" spans="1:27" ht="15.45" x14ac:dyDescent="0.4">
      <c r="A38" s="33" t="s">
        <v>11</v>
      </c>
      <c r="B38" s="21"/>
      <c r="C38" s="21"/>
      <c r="D38" s="58" t="s">
        <v>12</v>
      </c>
      <c r="E38" s="158">
        <v>1</v>
      </c>
      <c r="F38" s="157">
        <v>209</v>
      </c>
      <c r="G38" s="34">
        <f>AA58</f>
        <v>209</v>
      </c>
      <c r="H38" s="59">
        <f>AA59</f>
        <v>1463</v>
      </c>
      <c r="I38" s="1"/>
      <c r="J38" s="1"/>
      <c r="K38" s="1"/>
      <c r="L38" s="1"/>
      <c r="AA38" s="2">
        <f>G29*D4</f>
        <v>350</v>
      </c>
    </row>
    <row r="39" spans="1:27" ht="15.45" x14ac:dyDescent="0.4">
      <c r="A39" s="149" t="s">
        <v>160</v>
      </c>
      <c r="B39" s="21"/>
      <c r="C39" s="21"/>
      <c r="D39" s="58" t="s">
        <v>12</v>
      </c>
      <c r="E39" s="158">
        <v>1</v>
      </c>
      <c r="F39" s="157">
        <v>1709</v>
      </c>
      <c r="G39" s="34">
        <f>AA56</f>
        <v>1709</v>
      </c>
      <c r="H39" s="59">
        <f>AA57</f>
        <v>11963</v>
      </c>
      <c r="I39" s="1"/>
      <c r="J39" s="1"/>
      <c r="K39" s="1"/>
      <c r="L39" s="1"/>
      <c r="AA39" s="2">
        <f>E30*F30</f>
        <v>17651.169999999998</v>
      </c>
    </row>
    <row r="40" spans="1:27" ht="15.45" x14ac:dyDescent="0.4">
      <c r="A40" s="149" t="s">
        <v>161</v>
      </c>
      <c r="B40" s="21"/>
      <c r="C40" s="21"/>
      <c r="D40" s="58" t="s">
        <v>12</v>
      </c>
      <c r="E40" s="158">
        <v>1</v>
      </c>
      <c r="F40" s="157">
        <v>105</v>
      </c>
      <c r="G40" s="34">
        <f>AA60</f>
        <v>105</v>
      </c>
      <c r="H40" s="59">
        <f>AA61</f>
        <v>735</v>
      </c>
      <c r="I40" s="1"/>
      <c r="J40" s="1"/>
      <c r="K40" s="1"/>
      <c r="L40" s="1"/>
      <c r="AA40" s="2">
        <f>G30*D4</f>
        <v>123558.18999999999</v>
      </c>
    </row>
    <row r="41" spans="1:27" ht="15.45" x14ac:dyDescent="0.4">
      <c r="A41" s="149" t="s">
        <v>165</v>
      </c>
      <c r="B41" s="148"/>
      <c r="C41" s="148"/>
      <c r="D41" s="58" t="s">
        <v>12</v>
      </c>
      <c r="E41" s="158">
        <v>1</v>
      </c>
      <c r="F41" s="157">
        <v>140</v>
      </c>
      <c r="G41" s="34">
        <f>AA62</f>
        <v>140</v>
      </c>
      <c r="H41" s="59">
        <f>AA63</f>
        <v>980</v>
      </c>
      <c r="I41" s="1"/>
      <c r="J41" s="1"/>
      <c r="K41" s="1"/>
      <c r="L41" s="1"/>
      <c r="AA41" s="2">
        <f>E31*F31</f>
        <v>1166</v>
      </c>
    </row>
    <row r="42" spans="1:27" ht="15.45" x14ac:dyDescent="0.4">
      <c r="A42" s="149" t="s">
        <v>166</v>
      </c>
      <c r="B42" s="21"/>
      <c r="C42" s="21"/>
      <c r="D42" s="66" t="s">
        <v>12</v>
      </c>
      <c r="E42" s="158">
        <v>1</v>
      </c>
      <c r="F42" s="157">
        <v>45</v>
      </c>
      <c r="G42" s="34">
        <f>AA65</f>
        <v>45</v>
      </c>
      <c r="H42" s="59">
        <f>AA66</f>
        <v>315</v>
      </c>
      <c r="I42" s="11"/>
      <c r="J42" s="11"/>
      <c r="K42" s="11"/>
      <c r="L42" s="1"/>
      <c r="AA42" s="2">
        <f>G31*D4</f>
        <v>8162</v>
      </c>
    </row>
    <row r="43" spans="1:27" ht="15.45" x14ac:dyDescent="0.4">
      <c r="A43" s="33" t="s">
        <v>80</v>
      </c>
      <c r="B43" s="21"/>
      <c r="C43" s="21"/>
      <c r="D43" s="66" t="s">
        <v>12</v>
      </c>
      <c r="E43" s="152">
        <v>0</v>
      </c>
      <c r="F43" s="151">
        <v>0</v>
      </c>
      <c r="G43" s="34">
        <f>AA71</f>
        <v>0</v>
      </c>
      <c r="H43" s="59">
        <f>AA72</f>
        <v>0</v>
      </c>
      <c r="I43" s="1"/>
      <c r="J43" s="1"/>
      <c r="K43" s="1"/>
      <c r="L43" s="1"/>
      <c r="AA43" s="2">
        <f>(1+0.33267*((E7-D14)/((C7-G7)/2)))</f>
        <v>2.3306798669319999</v>
      </c>
    </row>
    <row r="44" spans="1:27" ht="15.45" x14ac:dyDescent="0.4">
      <c r="A44" s="33"/>
      <c r="B44" s="21"/>
      <c r="C44" s="35"/>
      <c r="D44" s="21"/>
      <c r="E44" s="21"/>
      <c r="F44" s="21"/>
      <c r="G44" s="48"/>
      <c r="H44" s="44"/>
      <c r="I44" s="1"/>
      <c r="J44" s="1"/>
      <c r="K44" s="1"/>
      <c r="L44" s="1"/>
      <c r="AA44" s="3">
        <f>H98</f>
        <v>0</v>
      </c>
    </row>
    <row r="45" spans="1:27" ht="15.45" x14ac:dyDescent="0.4">
      <c r="A45" s="33" t="s">
        <v>81</v>
      </c>
      <c r="B45" s="21"/>
      <c r="C45" s="35"/>
      <c r="D45" s="58" t="s">
        <v>12</v>
      </c>
      <c r="E45" s="153">
        <v>1</v>
      </c>
      <c r="F45" s="153">
        <v>2025</v>
      </c>
      <c r="G45" s="34">
        <f>AA64</f>
        <v>2025</v>
      </c>
      <c r="H45" s="59">
        <f>AA73</f>
        <v>14175</v>
      </c>
      <c r="I45" s="1"/>
      <c r="J45" s="1"/>
      <c r="K45" s="1"/>
      <c r="L45" s="1"/>
      <c r="AA45" s="2">
        <f>E33*F33</f>
        <v>322.00000000000034</v>
      </c>
    </row>
    <row r="46" spans="1:27" ht="15.45" x14ac:dyDescent="0.4">
      <c r="A46" s="33" t="s">
        <v>82</v>
      </c>
      <c r="B46" s="21"/>
      <c r="C46" s="35"/>
      <c r="D46" s="58" t="s">
        <v>12</v>
      </c>
      <c r="E46" s="153">
        <v>1</v>
      </c>
      <c r="F46" s="153">
        <v>375</v>
      </c>
      <c r="G46" s="34">
        <f>AA74</f>
        <v>375</v>
      </c>
      <c r="H46" s="59">
        <f>AA75</f>
        <v>2625</v>
      </c>
      <c r="I46" s="11"/>
      <c r="J46" s="11"/>
      <c r="K46" s="11"/>
      <c r="L46" s="1"/>
      <c r="AA46" s="2">
        <f>G33*D4</f>
        <v>2254.0000000000023</v>
      </c>
    </row>
    <row r="47" spans="1:27" ht="15.45" x14ac:dyDescent="0.4">
      <c r="A47" s="33" t="s">
        <v>85</v>
      </c>
      <c r="B47" s="21"/>
      <c r="C47" s="21"/>
      <c r="D47" s="58" t="s">
        <v>12</v>
      </c>
      <c r="E47" s="153">
        <v>1</v>
      </c>
      <c r="F47" s="153">
        <v>1131</v>
      </c>
      <c r="G47" s="34">
        <f>AA76</f>
        <v>1131</v>
      </c>
      <c r="H47" s="59">
        <f>AA77</f>
        <v>7917</v>
      </c>
      <c r="I47" s="1"/>
      <c r="J47" s="1"/>
      <c r="K47" s="1"/>
      <c r="L47" s="1"/>
      <c r="AA47" s="3">
        <f>K34+0</f>
        <v>0</v>
      </c>
    </row>
    <row r="48" spans="1:27" ht="15.45" x14ac:dyDescent="0.4">
      <c r="A48" s="33" t="s">
        <v>83</v>
      </c>
      <c r="B48" s="21"/>
      <c r="C48" s="21"/>
      <c r="D48" s="58" t="s">
        <v>12</v>
      </c>
      <c r="E48" s="153">
        <v>0</v>
      </c>
      <c r="F48" s="153">
        <v>0</v>
      </c>
      <c r="G48" s="34">
        <f>AA78</f>
        <v>0</v>
      </c>
      <c r="H48" s="59">
        <f>AA79</f>
        <v>0</v>
      </c>
      <c r="I48" s="1"/>
      <c r="J48" s="1"/>
      <c r="K48" s="1"/>
      <c r="L48" s="1"/>
      <c r="AA48" s="2">
        <f>E34*F34</f>
        <v>686.00000000000045</v>
      </c>
    </row>
    <row r="49" spans="1:27" ht="15.45" x14ac:dyDescent="0.4">
      <c r="A49" s="25"/>
      <c r="B49" s="21"/>
      <c r="C49" s="21"/>
      <c r="D49" s="21"/>
      <c r="E49" s="21"/>
      <c r="F49" s="35"/>
      <c r="G49" s="52" t="s">
        <v>13</v>
      </c>
      <c r="H49" s="53" t="s">
        <v>13</v>
      </c>
      <c r="I49" s="1"/>
      <c r="J49" s="1"/>
      <c r="K49" s="1"/>
      <c r="L49" s="1"/>
      <c r="AA49" s="2">
        <f>G34*D4</f>
        <v>4802.0000000000036</v>
      </c>
    </row>
    <row r="50" spans="1:27" ht="15.45" x14ac:dyDescent="0.4">
      <c r="A50" s="33" t="s">
        <v>86</v>
      </c>
      <c r="B50" s="21"/>
      <c r="C50" s="21"/>
      <c r="D50" s="21"/>
      <c r="E50" s="21"/>
      <c r="F50" s="35"/>
      <c r="G50" s="34">
        <f>AA80</f>
        <v>39881.17</v>
      </c>
      <c r="H50" s="59">
        <f>AA81</f>
        <v>279168.19</v>
      </c>
      <c r="I50" s="1"/>
      <c r="J50" s="1"/>
      <c r="K50" s="1"/>
      <c r="L50" s="1"/>
      <c r="AA50" s="2">
        <f>E35*F35</f>
        <v>759.00000000000114</v>
      </c>
    </row>
    <row r="51" spans="1:27" ht="15.45" x14ac:dyDescent="0.4">
      <c r="A51" s="33"/>
      <c r="B51" s="21"/>
      <c r="C51" s="21"/>
      <c r="D51" s="21"/>
      <c r="E51" s="21"/>
      <c r="F51" s="35"/>
      <c r="G51" s="48"/>
      <c r="H51" s="44"/>
      <c r="I51" s="1"/>
      <c r="J51" s="1"/>
      <c r="K51" s="1"/>
      <c r="L51" s="1"/>
      <c r="AA51" s="2">
        <f>G35*D4</f>
        <v>5313.0000000000082</v>
      </c>
    </row>
    <row r="52" spans="1:27" ht="15.45" x14ac:dyDescent="0.4">
      <c r="A52" s="67"/>
      <c r="B52" s="21"/>
      <c r="C52" s="21"/>
      <c r="D52" s="21"/>
      <c r="E52" s="48"/>
      <c r="F52" s="21"/>
      <c r="G52" s="48"/>
      <c r="H52" s="68"/>
      <c r="I52" s="1"/>
      <c r="J52" s="1"/>
      <c r="K52" s="1"/>
      <c r="L52" s="1"/>
      <c r="AA52" s="2">
        <f>E36*F36</f>
        <v>989</v>
      </c>
    </row>
    <row r="53" spans="1:27" ht="15.45" x14ac:dyDescent="0.4">
      <c r="A53" s="25"/>
      <c r="B53" s="21"/>
      <c r="C53" s="21"/>
      <c r="D53" s="52" t="s">
        <v>93</v>
      </c>
      <c r="E53" s="52" t="s">
        <v>69</v>
      </c>
      <c r="F53" s="52" t="s">
        <v>70</v>
      </c>
      <c r="G53" s="52" t="s">
        <v>71</v>
      </c>
      <c r="H53" s="53" t="s">
        <v>94</v>
      </c>
      <c r="I53" s="1"/>
      <c r="J53" s="1"/>
      <c r="K53" s="1"/>
      <c r="L53" s="1"/>
      <c r="AA53" s="2">
        <f>G36*D4</f>
        <v>6923</v>
      </c>
    </row>
    <row r="54" spans="1:27" ht="15.45" x14ac:dyDescent="0.4">
      <c r="A54" s="33" t="s">
        <v>87</v>
      </c>
      <c r="B54" s="21"/>
      <c r="C54" s="21"/>
      <c r="D54" s="52" t="s">
        <v>14</v>
      </c>
      <c r="E54" s="52" t="s">
        <v>15</v>
      </c>
      <c r="F54" s="52" t="s">
        <v>16</v>
      </c>
      <c r="G54" s="52" t="s">
        <v>13</v>
      </c>
      <c r="H54" s="53" t="s">
        <v>13</v>
      </c>
      <c r="I54" s="1"/>
      <c r="J54" s="1"/>
      <c r="K54" s="1"/>
      <c r="L54" s="1"/>
      <c r="AA54" s="2">
        <f>E37*F37</f>
        <v>549</v>
      </c>
    </row>
    <row r="55" spans="1:27" ht="15.45" x14ac:dyDescent="0.4">
      <c r="A55" s="33" t="s">
        <v>88</v>
      </c>
      <c r="B55" s="21"/>
      <c r="C55" s="21"/>
      <c r="D55" s="58" t="s">
        <v>12</v>
      </c>
      <c r="E55" s="154">
        <v>1</v>
      </c>
      <c r="F55" s="154">
        <v>950</v>
      </c>
      <c r="G55" s="34">
        <f>AA82</f>
        <v>950</v>
      </c>
      <c r="H55" s="59">
        <f>AA83</f>
        <v>6650</v>
      </c>
      <c r="I55" s="1"/>
      <c r="J55" s="1"/>
      <c r="K55" s="1"/>
      <c r="L55" s="1"/>
      <c r="AA55" s="2">
        <f>G37*D4</f>
        <v>3843</v>
      </c>
    </row>
    <row r="56" spans="1:27" ht="15.45" x14ac:dyDescent="0.4">
      <c r="A56" s="33" t="s">
        <v>89</v>
      </c>
      <c r="B56" s="21"/>
      <c r="C56" s="21"/>
      <c r="D56" s="58" t="s">
        <v>12</v>
      </c>
      <c r="E56" s="154">
        <v>1</v>
      </c>
      <c r="F56" s="154">
        <v>411</v>
      </c>
      <c r="G56" s="34">
        <f>AA84</f>
        <v>411</v>
      </c>
      <c r="H56" s="59">
        <f>AA85</f>
        <v>2877</v>
      </c>
      <c r="I56" s="1"/>
      <c r="J56" s="1"/>
      <c r="K56" s="1"/>
      <c r="L56" s="1"/>
      <c r="AA56" s="2">
        <f>E39*F39</f>
        <v>1709</v>
      </c>
    </row>
    <row r="57" spans="1:27" ht="15.45" x14ac:dyDescent="0.4">
      <c r="A57" s="33" t="s">
        <v>90</v>
      </c>
      <c r="B57" s="21"/>
      <c r="C57" s="21"/>
      <c r="D57" s="58" t="s">
        <v>12</v>
      </c>
      <c r="E57" s="154">
        <v>0</v>
      </c>
      <c r="F57" s="154">
        <v>0</v>
      </c>
      <c r="G57" s="34">
        <f>AA86</f>
        <v>0</v>
      </c>
      <c r="H57" s="59">
        <f>AA87</f>
        <v>0</v>
      </c>
      <c r="I57" s="1"/>
      <c r="J57" s="1"/>
      <c r="K57" s="1"/>
      <c r="L57" s="1"/>
      <c r="AA57" s="2">
        <f>G39*D4</f>
        <v>11963</v>
      </c>
    </row>
    <row r="58" spans="1:27" ht="15.45" x14ac:dyDescent="0.4">
      <c r="A58" s="33" t="s">
        <v>91</v>
      </c>
      <c r="B58" s="21"/>
      <c r="C58" s="21"/>
      <c r="D58" s="58" t="s">
        <v>12</v>
      </c>
      <c r="E58" s="154">
        <v>1</v>
      </c>
      <c r="F58" s="154">
        <v>265</v>
      </c>
      <c r="G58" s="34">
        <f>AA88</f>
        <v>265</v>
      </c>
      <c r="H58" s="59">
        <f>AA89</f>
        <v>1855</v>
      </c>
      <c r="I58" s="1"/>
      <c r="J58" s="1"/>
      <c r="K58" s="1"/>
      <c r="L58" s="1"/>
      <c r="AA58" s="2">
        <f>E38*F38</f>
        <v>209</v>
      </c>
    </row>
    <row r="59" spans="1:27" ht="15.45" x14ac:dyDescent="0.4">
      <c r="A59" s="33" t="s">
        <v>92</v>
      </c>
      <c r="B59" s="21"/>
      <c r="C59" s="21"/>
      <c r="D59" s="58" t="s">
        <v>12</v>
      </c>
      <c r="E59" s="154">
        <v>1</v>
      </c>
      <c r="F59" s="154">
        <v>5850</v>
      </c>
      <c r="G59" s="34">
        <f>AA90</f>
        <v>5850</v>
      </c>
      <c r="H59" s="59">
        <f>AA91</f>
        <v>40950</v>
      </c>
      <c r="I59" s="1"/>
      <c r="J59" s="1"/>
      <c r="K59" s="1"/>
      <c r="L59" s="1"/>
      <c r="AA59" s="2">
        <f>G38*D4</f>
        <v>1463</v>
      </c>
    </row>
    <row r="60" spans="1:27" ht="15.45" x14ac:dyDescent="0.4">
      <c r="A60" s="25"/>
      <c r="B60" s="21"/>
      <c r="C60" s="21"/>
      <c r="D60" s="21"/>
      <c r="E60" s="21"/>
      <c r="F60" s="35"/>
      <c r="G60" s="52" t="s">
        <v>13</v>
      </c>
      <c r="H60" s="53" t="s">
        <v>13</v>
      </c>
      <c r="I60" s="1"/>
      <c r="J60" s="1"/>
      <c r="K60" s="1"/>
      <c r="L60" s="1"/>
      <c r="AA60" s="2">
        <f>E40*F40</f>
        <v>105</v>
      </c>
    </row>
    <row r="61" spans="1:27" ht="15.45" x14ac:dyDescent="0.4">
      <c r="A61" s="33" t="s">
        <v>96</v>
      </c>
      <c r="B61" s="21"/>
      <c r="C61" s="21"/>
      <c r="D61" s="21"/>
      <c r="E61" s="21"/>
      <c r="F61" s="35"/>
      <c r="G61" s="34">
        <f>AA92</f>
        <v>7476</v>
      </c>
      <c r="H61" s="59">
        <f>AA93</f>
        <v>52332</v>
      </c>
      <c r="I61" s="1"/>
      <c r="J61" s="1"/>
      <c r="K61" s="1"/>
      <c r="L61" s="1"/>
      <c r="AA61" s="2">
        <f>G40*D4</f>
        <v>735</v>
      </c>
    </row>
    <row r="62" spans="1:27" ht="15.45" x14ac:dyDescent="0.4">
      <c r="A62" s="25"/>
      <c r="B62" s="21"/>
      <c r="C62" s="21"/>
      <c r="D62" s="21"/>
      <c r="E62" s="21"/>
      <c r="F62" s="35"/>
      <c r="G62" s="48"/>
      <c r="H62" s="44"/>
      <c r="I62" s="1"/>
      <c r="J62" s="1"/>
      <c r="K62" s="1"/>
      <c r="L62" s="1"/>
      <c r="AA62" s="2">
        <f>E41*F41</f>
        <v>140</v>
      </c>
    </row>
    <row r="63" spans="1:27" ht="15.9" thickBot="1" x14ac:dyDescent="0.45">
      <c r="A63" s="33" t="s">
        <v>95</v>
      </c>
      <c r="B63" s="21"/>
      <c r="C63" s="21"/>
      <c r="D63" s="21"/>
      <c r="E63" s="21"/>
      <c r="F63" s="35"/>
      <c r="G63" s="34">
        <f>(G50+G61)-G67</f>
        <v>35320.17</v>
      </c>
      <c r="H63" s="59">
        <f>AA94</f>
        <v>331500.19</v>
      </c>
      <c r="I63" s="1"/>
      <c r="J63" s="1"/>
      <c r="K63" s="1"/>
      <c r="L63" s="1"/>
      <c r="AA63" s="2">
        <f>G41*D4</f>
        <v>980</v>
      </c>
    </row>
    <row r="64" spans="1:27" ht="15.45" x14ac:dyDescent="0.4">
      <c r="A64" s="122" t="s">
        <v>153</v>
      </c>
      <c r="B64" s="123"/>
      <c r="C64" s="123"/>
      <c r="D64" s="123"/>
      <c r="E64" s="123"/>
      <c r="F64" s="124"/>
      <c r="G64" s="125"/>
      <c r="H64" s="126"/>
      <c r="I64" s="1"/>
      <c r="J64" s="1"/>
      <c r="K64" s="1"/>
      <c r="L64" s="1"/>
      <c r="AA64" s="2">
        <f>E45*F45</f>
        <v>2025</v>
      </c>
    </row>
    <row r="65" spans="1:27" ht="15.45" x14ac:dyDescent="0.4">
      <c r="A65" s="127"/>
      <c r="B65" s="21"/>
      <c r="C65" s="21"/>
      <c r="D65" s="21" t="s">
        <v>93</v>
      </c>
      <c r="E65" s="100" t="s">
        <v>69</v>
      </c>
      <c r="F65" s="42" t="s">
        <v>151</v>
      </c>
      <c r="G65" s="34" t="s">
        <v>71</v>
      </c>
      <c r="H65" s="128" t="s">
        <v>94</v>
      </c>
      <c r="I65" s="1"/>
      <c r="J65" s="1"/>
      <c r="K65" s="1"/>
      <c r="L65" s="1"/>
      <c r="AA65" s="2">
        <f>E42*F42</f>
        <v>45</v>
      </c>
    </row>
    <row r="66" spans="1:27" ht="15.45" x14ac:dyDescent="0.4">
      <c r="A66" s="127" t="s">
        <v>150</v>
      </c>
      <c r="B66" s="21"/>
      <c r="C66" s="21"/>
      <c r="D66" s="58" t="s">
        <v>43</v>
      </c>
      <c r="E66" s="38">
        <v>4250</v>
      </c>
      <c r="F66" s="38">
        <v>3.5</v>
      </c>
      <c r="G66" s="34">
        <f>AA67</f>
        <v>14875</v>
      </c>
      <c r="H66" s="128">
        <f>AA68</f>
        <v>104125</v>
      </c>
      <c r="I66" s="1"/>
      <c r="J66" s="1"/>
      <c r="K66" s="1"/>
      <c r="L66" s="1"/>
      <c r="AA66" s="2">
        <f>G42*D4</f>
        <v>315</v>
      </c>
    </row>
    <row r="67" spans="1:27" ht="15.45" x14ac:dyDescent="0.4">
      <c r="A67" s="127" t="s">
        <v>149</v>
      </c>
      <c r="B67" s="21"/>
      <c r="C67" s="21"/>
      <c r="D67" s="58" t="s">
        <v>12</v>
      </c>
      <c r="E67" s="38">
        <v>1</v>
      </c>
      <c r="F67" s="38">
        <v>12037</v>
      </c>
      <c r="G67" s="34">
        <f>AA69</f>
        <v>12037</v>
      </c>
      <c r="H67" s="128">
        <f>AA70</f>
        <v>84259</v>
      </c>
      <c r="I67" s="1"/>
      <c r="J67" s="1"/>
      <c r="K67" s="1"/>
      <c r="L67" s="1"/>
      <c r="AA67" s="2">
        <f>E66*F66</f>
        <v>14875</v>
      </c>
    </row>
    <row r="68" spans="1:27" ht="15.45" x14ac:dyDescent="0.4">
      <c r="A68" s="127"/>
      <c r="B68" s="21"/>
      <c r="C68" s="21"/>
      <c r="D68" s="66"/>
      <c r="E68" s="66"/>
      <c r="F68" s="66"/>
      <c r="G68" s="34"/>
      <c r="H68" s="128"/>
      <c r="I68" s="1"/>
      <c r="J68" s="1"/>
      <c r="K68" s="1"/>
      <c r="L68" s="1"/>
      <c r="AA68" s="2">
        <f>G66*D4</f>
        <v>104125</v>
      </c>
    </row>
    <row r="69" spans="1:27" ht="15.45" x14ac:dyDescent="0.4">
      <c r="A69" s="127" t="s">
        <v>97</v>
      </c>
      <c r="B69" s="21"/>
      <c r="C69" s="21"/>
      <c r="D69" s="21"/>
      <c r="E69" s="21"/>
      <c r="F69" s="38">
        <v>1676</v>
      </c>
      <c r="G69" s="34">
        <f>AA95</f>
        <v>1676</v>
      </c>
      <c r="H69" s="128">
        <f>AA96</f>
        <v>11732</v>
      </c>
      <c r="I69" s="1"/>
      <c r="J69" s="1"/>
      <c r="K69" s="1"/>
      <c r="L69" s="1"/>
      <c r="AA69" s="2">
        <f>E67*F67</f>
        <v>12037</v>
      </c>
    </row>
    <row r="70" spans="1:27" ht="15.9" thickBot="1" x14ac:dyDescent="0.45">
      <c r="A70" s="129" t="str">
        <f>AA97</f>
        <v xml:space="preserve"> -ou amortissement sur 30 ans (Laissez l'entrée directe à 0)</v>
      </c>
      <c r="B70" s="121"/>
      <c r="C70" s="121"/>
      <c r="D70" s="121"/>
      <c r="E70" s="121"/>
      <c r="F70" s="130"/>
      <c r="G70" s="131">
        <v>9.2950000000000005E-2</v>
      </c>
      <c r="H70" s="132" t="s">
        <v>17</v>
      </c>
      <c r="I70" s="1"/>
      <c r="J70" s="1"/>
      <c r="K70" s="1"/>
      <c r="L70" s="1"/>
      <c r="AA70" s="2">
        <f>G67*D4</f>
        <v>84259</v>
      </c>
    </row>
    <row r="71" spans="1:27" ht="15.45" x14ac:dyDescent="0.4">
      <c r="A71" s="74"/>
      <c r="B71" s="55"/>
      <c r="C71" s="55"/>
      <c r="D71" s="55"/>
      <c r="E71" s="55"/>
      <c r="F71" s="55"/>
      <c r="G71" s="55"/>
      <c r="H71" s="75"/>
      <c r="I71" s="1"/>
      <c r="J71" s="1"/>
      <c r="K71" s="1"/>
      <c r="L71" s="1"/>
      <c r="AA71" s="2">
        <f>E43*F43</f>
        <v>0</v>
      </c>
    </row>
    <row r="72" spans="1:27" ht="15.45" x14ac:dyDescent="0.4">
      <c r="A72" s="25"/>
      <c r="B72" s="21"/>
      <c r="C72" s="21"/>
      <c r="D72" s="52" t="s">
        <v>93</v>
      </c>
      <c r="E72" s="52" t="s">
        <v>69</v>
      </c>
      <c r="F72" s="52" t="s">
        <v>70</v>
      </c>
      <c r="G72" s="52" t="s">
        <v>71</v>
      </c>
      <c r="H72" s="53" t="s">
        <v>101</v>
      </c>
      <c r="I72" s="1"/>
      <c r="J72" s="1"/>
      <c r="K72" s="1"/>
      <c r="L72" s="1"/>
      <c r="AA72" s="2">
        <f>G43*D4</f>
        <v>0</v>
      </c>
    </row>
    <row r="73" spans="1:27" ht="15.45" x14ac:dyDescent="0.4">
      <c r="A73" s="33" t="s">
        <v>152</v>
      </c>
      <c r="B73" s="21"/>
      <c r="C73" s="21"/>
      <c r="D73" s="52" t="s">
        <v>14</v>
      </c>
      <c r="E73" s="52" t="s">
        <v>15</v>
      </c>
      <c r="F73" s="52" t="s">
        <v>16</v>
      </c>
      <c r="G73" s="52" t="s">
        <v>13</v>
      </c>
      <c r="H73" s="53" t="s">
        <v>13</v>
      </c>
      <c r="I73" s="1"/>
      <c r="J73" s="1"/>
      <c r="K73" s="1"/>
      <c r="L73" s="1"/>
      <c r="AA73" s="2">
        <f>G45*D4</f>
        <v>14175</v>
      </c>
    </row>
    <row r="74" spans="1:27" ht="15.45" x14ac:dyDescent="0.4">
      <c r="A74" s="33"/>
      <c r="B74" s="21"/>
      <c r="C74" s="21"/>
      <c r="D74" s="21"/>
      <c r="E74" s="21"/>
      <c r="F74" s="35"/>
      <c r="G74" s="22"/>
      <c r="H74" s="53"/>
      <c r="I74" s="1"/>
      <c r="J74" s="1"/>
      <c r="K74" s="1"/>
      <c r="L74" s="1"/>
      <c r="AA74" s="2">
        <f>E46*F46</f>
        <v>375</v>
      </c>
    </row>
    <row r="75" spans="1:27" ht="15.45" x14ac:dyDescent="0.4">
      <c r="A75" s="33" t="s">
        <v>102</v>
      </c>
      <c r="B75" s="21"/>
      <c r="C75" s="21"/>
      <c r="D75" s="58" t="s">
        <v>3</v>
      </c>
      <c r="E75" s="161">
        <v>581.5</v>
      </c>
      <c r="F75" s="160">
        <v>20.192605331040401</v>
      </c>
      <c r="G75" s="34">
        <f>AA98</f>
        <v>11741.999999999993</v>
      </c>
      <c r="H75" s="59">
        <f>AA99</f>
        <v>82193.999999999942</v>
      </c>
      <c r="I75" s="1"/>
      <c r="J75" s="1"/>
      <c r="K75" s="1"/>
      <c r="L75" s="1"/>
      <c r="AA75" s="2">
        <f>G46*D4</f>
        <v>2625</v>
      </c>
    </row>
    <row r="76" spans="1:27" ht="15.45" x14ac:dyDescent="0.4">
      <c r="A76" s="33" t="s">
        <v>103</v>
      </c>
      <c r="B76" s="21"/>
      <c r="C76" s="21"/>
      <c r="D76" s="58" t="s">
        <v>3</v>
      </c>
      <c r="E76" s="161">
        <v>15.3</v>
      </c>
      <c r="F76" s="160">
        <v>22</v>
      </c>
      <c r="G76" s="34">
        <f>AA100</f>
        <v>336.6</v>
      </c>
      <c r="H76" s="59">
        <f>AA101</f>
        <v>2356.2000000000003</v>
      </c>
      <c r="I76" s="1"/>
      <c r="J76" s="1"/>
      <c r="K76" s="1"/>
      <c r="L76" s="1"/>
      <c r="AA76" s="2">
        <f>E47*F47</f>
        <v>1131</v>
      </c>
    </row>
    <row r="77" spans="1:27" ht="15.45" x14ac:dyDescent="0.4">
      <c r="A77" s="33" t="s">
        <v>104</v>
      </c>
      <c r="B77" s="21"/>
      <c r="C77" s="21"/>
      <c r="D77" s="21"/>
      <c r="E77" s="21"/>
      <c r="F77" s="35"/>
      <c r="G77" s="21"/>
      <c r="H77" s="29"/>
      <c r="I77" s="1"/>
      <c r="J77" s="1"/>
      <c r="K77" s="1"/>
      <c r="L77" s="1"/>
      <c r="AA77" s="2">
        <f>G47*D4</f>
        <v>7917</v>
      </c>
    </row>
    <row r="78" spans="1:27" ht="15.45" x14ac:dyDescent="0.4">
      <c r="A78" s="33" t="s">
        <v>7</v>
      </c>
      <c r="B78" s="61" t="s">
        <v>158</v>
      </c>
      <c r="C78" s="76"/>
      <c r="D78" s="58" t="s">
        <v>46</v>
      </c>
      <c r="E78" s="162">
        <v>60</v>
      </c>
      <c r="F78" s="163">
        <v>2.4166666666666701</v>
      </c>
      <c r="G78" s="34">
        <f>AA102</f>
        <v>145.0000000000002</v>
      </c>
      <c r="H78" s="59">
        <f>AA103</f>
        <v>1015.0000000000014</v>
      </c>
      <c r="I78" s="1"/>
      <c r="J78" s="1"/>
      <c r="K78" s="1"/>
      <c r="L78" s="1"/>
      <c r="AA78" s="2">
        <f>E48*F48</f>
        <v>0</v>
      </c>
    </row>
    <row r="79" spans="1:27" ht="15.45" x14ac:dyDescent="0.4">
      <c r="A79" s="33" t="s">
        <v>9</v>
      </c>
      <c r="B79" s="63" t="s">
        <v>159</v>
      </c>
      <c r="C79" s="77"/>
      <c r="D79" s="58" t="s">
        <v>47</v>
      </c>
      <c r="E79" s="162">
        <v>70</v>
      </c>
      <c r="F79" s="163">
        <v>1.7567567567567599</v>
      </c>
      <c r="G79" s="34">
        <f>AA104</f>
        <v>122.9729729729732</v>
      </c>
      <c r="H79" s="59">
        <f>AA105</f>
        <v>860.81081081081243</v>
      </c>
      <c r="I79" s="1"/>
      <c r="J79" s="1"/>
      <c r="K79" s="1"/>
      <c r="L79" s="1"/>
      <c r="AA79" s="2">
        <f>G48*D4</f>
        <v>0</v>
      </c>
    </row>
    <row r="80" spans="1:27" ht="15.45" x14ac:dyDescent="0.4">
      <c r="A80" s="33" t="s">
        <v>10</v>
      </c>
      <c r="B80" s="63" t="s">
        <v>172</v>
      </c>
      <c r="C80" s="77"/>
      <c r="D80" s="58" t="s">
        <v>46</v>
      </c>
      <c r="E80" s="162">
        <v>69</v>
      </c>
      <c r="F80" s="163">
        <v>1.2173913043478299</v>
      </c>
      <c r="G80" s="34">
        <f>AA106</f>
        <v>84.00000000000027</v>
      </c>
      <c r="H80" s="59">
        <f>AA107</f>
        <v>588.00000000000193</v>
      </c>
      <c r="I80" s="1"/>
      <c r="J80" s="1"/>
      <c r="K80" s="1"/>
      <c r="L80" s="1"/>
      <c r="AA80" s="3">
        <f>SUM(G23:G48)</f>
        <v>39881.17</v>
      </c>
    </row>
    <row r="81" spans="1:27" ht="15.45" x14ac:dyDescent="0.4">
      <c r="A81" s="33"/>
      <c r="B81" s="21"/>
      <c r="C81" s="21"/>
      <c r="D81" s="21"/>
      <c r="E81" s="48"/>
      <c r="F81" s="35"/>
      <c r="G81" s="48"/>
      <c r="H81" s="44"/>
      <c r="I81" s="1"/>
      <c r="J81" s="1"/>
      <c r="K81" s="1"/>
      <c r="L81" s="1"/>
      <c r="AA81" s="3">
        <f>SUM(H23:H48)</f>
        <v>279168.19</v>
      </c>
    </row>
    <row r="82" spans="1:27" ht="15.45" x14ac:dyDescent="0.4">
      <c r="A82" s="25"/>
      <c r="B82" s="21"/>
      <c r="C82" s="21"/>
      <c r="D82" s="52" t="s">
        <v>93</v>
      </c>
      <c r="E82" s="52" t="s">
        <v>69</v>
      </c>
      <c r="F82" s="52" t="s">
        <v>70</v>
      </c>
      <c r="G82" s="52" t="s">
        <v>71</v>
      </c>
      <c r="H82" s="53" t="s">
        <v>101</v>
      </c>
      <c r="I82" s="11"/>
      <c r="J82" s="1"/>
      <c r="K82" s="1"/>
      <c r="L82" s="1"/>
      <c r="AA82" s="2">
        <f>E55*F55</f>
        <v>950</v>
      </c>
    </row>
    <row r="83" spans="1:27" ht="15.45" x14ac:dyDescent="0.4">
      <c r="A83" s="33" t="s">
        <v>174</v>
      </c>
      <c r="B83" s="21"/>
      <c r="C83" s="21"/>
      <c r="D83" s="52" t="s">
        <v>14</v>
      </c>
      <c r="E83" s="52" t="s">
        <v>15</v>
      </c>
      <c r="F83" s="52" t="s">
        <v>16</v>
      </c>
      <c r="G83" s="52" t="s">
        <v>13</v>
      </c>
      <c r="H83" s="53" t="s">
        <v>13</v>
      </c>
      <c r="I83" s="11"/>
      <c r="J83" s="1"/>
      <c r="K83" s="1"/>
      <c r="L83" s="1"/>
      <c r="AA83" s="2">
        <f>G55*D4</f>
        <v>6650</v>
      </c>
    </row>
    <row r="84" spans="1:27" ht="15.45" x14ac:dyDescent="0.4">
      <c r="A84" s="33" t="s">
        <v>7</v>
      </c>
      <c r="B84" s="78" t="s">
        <v>175</v>
      </c>
      <c r="C84" s="76"/>
      <c r="D84" s="58" t="s">
        <v>12</v>
      </c>
      <c r="E84" s="38">
        <v>1</v>
      </c>
      <c r="F84" s="36">
        <v>459</v>
      </c>
      <c r="G84" s="34">
        <f>AA113</f>
        <v>459</v>
      </c>
      <c r="H84" s="59">
        <f>AA114</f>
        <v>3213</v>
      </c>
      <c r="I84" s="11"/>
      <c r="J84" s="1"/>
      <c r="K84" s="1"/>
      <c r="L84" s="1"/>
      <c r="AA84" s="2">
        <f>E56*F56</f>
        <v>411</v>
      </c>
    </row>
    <row r="85" spans="1:27" ht="15.45" x14ac:dyDescent="0.4">
      <c r="A85" s="33" t="s">
        <v>9</v>
      </c>
      <c r="B85" s="63"/>
      <c r="C85" s="77"/>
      <c r="D85" s="58" t="s">
        <v>8</v>
      </c>
      <c r="E85" s="38">
        <v>0</v>
      </c>
      <c r="F85" s="36">
        <v>0</v>
      </c>
      <c r="G85" s="34">
        <f>AA115</f>
        <v>0</v>
      </c>
      <c r="H85" s="59">
        <f>AA116</f>
        <v>0</v>
      </c>
      <c r="I85" s="11"/>
      <c r="J85" s="1"/>
      <c r="K85" s="1"/>
      <c r="L85" s="1"/>
      <c r="AA85" s="2">
        <f>G56*D4</f>
        <v>2877</v>
      </c>
    </row>
    <row r="86" spans="1:27" ht="15.45" x14ac:dyDescent="0.4">
      <c r="A86" s="33" t="s">
        <v>79</v>
      </c>
      <c r="B86" s="79"/>
      <c r="C86" s="79"/>
      <c r="D86" s="21"/>
      <c r="E86" s="21"/>
      <c r="F86" s="21"/>
      <c r="G86" s="48"/>
      <c r="H86" s="44"/>
      <c r="I86" s="1"/>
      <c r="J86" s="1"/>
      <c r="K86" s="1"/>
      <c r="L86" s="1"/>
      <c r="AA86" s="2">
        <f>E57*F57</f>
        <v>0</v>
      </c>
    </row>
    <row r="87" spans="1:27" ht="15.45" x14ac:dyDescent="0.4">
      <c r="A87" s="33" t="s">
        <v>7</v>
      </c>
      <c r="B87" s="58" t="s">
        <v>106</v>
      </c>
      <c r="C87" s="79"/>
      <c r="D87" s="58" t="s">
        <v>12</v>
      </c>
      <c r="E87" s="38">
        <v>1</v>
      </c>
      <c r="F87" s="36">
        <v>253</v>
      </c>
      <c r="G87" s="34">
        <f>AA118</f>
        <v>253</v>
      </c>
      <c r="H87" s="59">
        <f>AA119</f>
        <v>1771</v>
      </c>
      <c r="I87" s="11"/>
      <c r="J87" s="11"/>
      <c r="K87" s="1"/>
      <c r="L87" s="1"/>
      <c r="AA87" s="2">
        <f>G57*D4</f>
        <v>0</v>
      </c>
    </row>
    <row r="88" spans="1:27" ht="15.45" x14ac:dyDescent="0.4">
      <c r="A88" s="33" t="s">
        <v>9</v>
      </c>
      <c r="B88" s="61"/>
      <c r="C88" s="76"/>
      <c r="D88" s="58" t="s">
        <v>8</v>
      </c>
      <c r="E88" s="38">
        <v>0</v>
      </c>
      <c r="F88" s="36">
        <v>0</v>
      </c>
      <c r="G88" s="34">
        <f>AA120</f>
        <v>0</v>
      </c>
      <c r="H88" s="59">
        <f>AA121</f>
        <v>0</v>
      </c>
      <c r="I88" s="11"/>
      <c r="J88" s="11"/>
      <c r="K88" s="1"/>
      <c r="L88" s="1"/>
      <c r="AA88" s="2">
        <f>E58*F58</f>
        <v>265</v>
      </c>
    </row>
    <row r="89" spans="1:27" ht="15.45" x14ac:dyDescent="0.4">
      <c r="A89" s="33" t="s">
        <v>18</v>
      </c>
      <c r="B89" s="79"/>
      <c r="C89" s="79"/>
      <c r="D89" s="21"/>
      <c r="E89" s="48"/>
      <c r="F89" s="48"/>
      <c r="G89" s="48"/>
      <c r="H89" s="44"/>
      <c r="I89" s="11"/>
      <c r="J89" s="11"/>
      <c r="K89" s="1"/>
      <c r="L89" s="1"/>
      <c r="AA89" s="2">
        <f>G58*D4</f>
        <v>1855</v>
      </c>
    </row>
    <row r="90" spans="1:27" ht="15.45" x14ac:dyDescent="0.4">
      <c r="A90" s="33" t="s">
        <v>7</v>
      </c>
      <c r="B90" s="61" t="s">
        <v>107</v>
      </c>
      <c r="C90" s="76"/>
      <c r="D90" s="58" t="s">
        <v>12</v>
      </c>
      <c r="E90" s="38">
        <v>1</v>
      </c>
      <c r="F90" s="36">
        <v>81</v>
      </c>
      <c r="G90" s="34">
        <f>AA123</f>
        <v>81</v>
      </c>
      <c r="H90" s="59">
        <f>AA124</f>
        <v>567</v>
      </c>
      <c r="I90" s="11"/>
      <c r="J90" s="11"/>
      <c r="K90" s="1"/>
      <c r="L90" s="1"/>
      <c r="AA90" s="2">
        <f>E59*F59</f>
        <v>5850</v>
      </c>
    </row>
    <row r="91" spans="1:27" ht="15.45" x14ac:dyDescent="0.4">
      <c r="A91" s="33" t="s">
        <v>9</v>
      </c>
      <c r="B91" s="63"/>
      <c r="C91" s="80"/>
      <c r="D91" s="58" t="s">
        <v>12</v>
      </c>
      <c r="E91" s="38">
        <v>0</v>
      </c>
      <c r="F91" s="36">
        <v>0</v>
      </c>
      <c r="G91" s="34">
        <f>AA125</f>
        <v>0</v>
      </c>
      <c r="H91" s="59">
        <f>AA126</f>
        <v>0</v>
      </c>
      <c r="I91" s="11"/>
      <c r="J91" s="1"/>
      <c r="K91" s="1"/>
      <c r="L91" s="1"/>
      <c r="AA91" s="2">
        <f>G59*D4</f>
        <v>40950</v>
      </c>
    </row>
    <row r="92" spans="1:27" ht="15.45" x14ac:dyDescent="0.4">
      <c r="A92" s="33"/>
      <c r="B92" s="21"/>
      <c r="C92" s="21"/>
      <c r="D92" s="21"/>
      <c r="E92" s="21"/>
      <c r="F92" s="21"/>
      <c r="G92" s="21"/>
      <c r="H92" s="29"/>
      <c r="I92" s="11"/>
      <c r="J92" s="1"/>
      <c r="K92" s="1"/>
      <c r="L92" s="1"/>
      <c r="AA92" s="3">
        <f>SUM(G55:G59)</f>
        <v>7476</v>
      </c>
    </row>
    <row r="93" spans="1:27" ht="15.45" x14ac:dyDescent="0.4">
      <c r="A93" s="25"/>
      <c r="B93" s="21"/>
      <c r="C93" s="21"/>
      <c r="D93" s="52" t="s">
        <v>93</v>
      </c>
      <c r="E93" s="52" t="s">
        <v>69</v>
      </c>
      <c r="F93" s="52" t="s">
        <v>70</v>
      </c>
      <c r="G93" s="52" t="s">
        <v>71</v>
      </c>
      <c r="H93" s="53" t="s">
        <v>101</v>
      </c>
      <c r="I93" s="11"/>
      <c r="J93" s="11"/>
      <c r="K93" s="1"/>
      <c r="L93" s="1"/>
      <c r="AA93" s="3">
        <f>SUM(H55:H59)</f>
        <v>52332</v>
      </c>
    </row>
    <row r="94" spans="1:27" ht="15.45" x14ac:dyDescent="0.4">
      <c r="A94" s="33" t="s">
        <v>105</v>
      </c>
      <c r="B94" s="21"/>
      <c r="C94" s="48"/>
      <c r="D94" s="52" t="s">
        <v>14</v>
      </c>
      <c r="E94" s="52" t="s">
        <v>15</v>
      </c>
      <c r="F94" s="52" t="s">
        <v>16</v>
      </c>
      <c r="G94" s="52" t="s">
        <v>13</v>
      </c>
      <c r="H94" s="53" t="s">
        <v>13</v>
      </c>
      <c r="I94" s="11"/>
      <c r="J94" s="11"/>
      <c r="K94" s="1"/>
      <c r="L94" s="1"/>
      <c r="AA94" s="3">
        <f>H50+H61</f>
        <v>331500.19</v>
      </c>
    </row>
    <row r="95" spans="1:27" ht="15.45" x14ac:dyDescent="0.4">
      <c r="A95" s="33" t="s">
        <v>74</v>
      </c>
      <c r="B95" s="21"/>
      <c r="C95" s="48"/>
      <c r="D95" s="58" t="s">
        <v>12</v>
      </c>
      <c r="E95" s="38">
        <v>0</v>
      </c>
      <c r="F95" s="36">
        <v>0</v>
      </c>
      <c r="G95" s="34">
        <f>AA131</f>
        <v>0</v>
      </c>
      <c r="H95" s="59">
        <f>AA132</f>
        <v>0</v>
      </c>
      <c r="I95" s="11"/>
      <c r="J95" s="11"/>
      <c r="K95" s="1"/>
      <c r="L95" s="1"/>
      <c r="AA95" s="2">
        <f>IF(F69&gt;0,F69,IF(PMT(H13-H14,H12,-G63+(G66-G67))&lt;0,0,PMT(H13-H14,H12,-G63+(G66-G67))))</f>
        <v>1676</v>
      </c>
    </row>
    <row r="96" spans="1:27" ht="15.45" x14ac:dyDescent="0.4">
      <c r="A96" s="33" t="s">
        <v>80</v>
      </c>
      <c r="B96" s="21"/>
      <c r="C96" s="48"/>
      <c r="D96" s="58" t="s">
        <v>12</v>
      </c>
      <c r="E96" s="38">
        <v>0</v>
      </c>
      <c r="F96" s="36">
        <v>0</v>
      </c>
      <c r="G96" s="34">
        <f>AA133</f>
        <v>0</v>
      </c>
      <c r="H96" s="59">
        <f>AA134</f>
        <v>0</v>
      </c>
      <c r="I96" s="11"/>
      <c r="J96" s="11"/>
      <c r="K96" s="1"/>
      <c r="L96" s="1"/>
      <c r="AA96" s="2">
        <f>G69*D4</f>
        <v>11732</v>
      </c>
    </row>
    <row r="97" spans="1:27" ht="15.45" x14ac:dyDescent="0.4">
      <c r="A97" s="33" t="s">
        <v>176</v>
      </c>
      <c r="B97" s="21"/>
      <c r="C97" s="21"/>
      <c r="D97" s="58" t="s">
        <v>177</v>
      </c>
      <c r="E97" s="38">
        <v>22.5</v>
      </c>
      <c r="F97" s="36">
        <v>25</v>
      </c>
      <c r="G97" s="34">
        <f>AA135</f>
        <v>562.5</v>
      </c>
      <c r="H97" s="59">
        <f>AA136</f>
        <v>3937.5</v>
      </c>
      <c r="I97" s="11"/>
      <c r="J97" s="11"/>
      <c r="K97" s="1"/>
      <c r="L97" s="1"/>
      <c r="AA97" s="2" t="str">
        <f>" -ou amortissement sur "&amp;FIXED(H12,0,TRUE)&amp;" ans (Laissez l'entrée directe à 0)"</f>
        <v xml:space="preserve"> -ou amortissement sur 30 ans (Laissez l'entrée directe à 0)</v>
      </c>
    </row>
    <row r="98" spans="1:27" ht="15.45" x14ac:dyDescent="0.4">
      <c r="A98" s="33" t="s">
        <v>108</v>
      </c>
      <c r="B98" s="21"/>
      <c r="C98" s="21"/>
      <c r="D98" s="66" t="s">
        <v>109</v>
      </c>
      <c r="E98" s="52">
        <f>AA137</f>
        <v>0</v>
      </c>
      <c r="F98" s="42">
        <f>AA138</f>
        <v>9.9999999999999995E-7</v>
      </c>
      <c r="G98" s="34">
        <f>AA139</f>
        <v>0</v>
      </c>
      <c r="H98" s="59">
        <f>AA140</f>
        <v>0</v>
      </c>
      <c r="I98" s="13"/>
      <c r="J98" s="11"/>
      <c r="K98" s="1"/>
      <c r="L98" s="1"/>
      <c r="AA98" s="2">
        <f>F75*E75</f>
        <v>11741.999999999993</v>
      </c>
    </row>
    <row r="99" spans="1:27" ht="15.45" x14ac:dyDescent="0.4">
      <c r="A99" s="65" t="s">
        <v>157</v>
      </c>
      <c r="B99" s="21"/>
      <c r="C99" s="21"/>
      <c r="D99" s="58" t="s">
        <v>12</v>
      </c>
      <c r="E99" s="38">
        <v>1</v>
      </c>
      <c r="F99" s="36">
        <v>154</v>
      </c>
      <c r="G99" s="34">
        <f>AA141</f>
        <v>154</v>
      </c>
      <c r="H99" s="59">
        <f>AA142</f>
        <v>1078</v>
      </c>
      <c r="I99" s="11"/>
      <c r="J99" s="11"/>
      <c r="K99" s="1"/>
      <c r="L99" s="1"/>
      <c r="AA99" s="2">
        <f>G75*D4</f>
        <v>82193.999999999942</v>
      </c>
    </row>
    <row r="100" spans="1:27" ht="15.45" x14ac:dyDescent="0.4">
      <c r="A100" s="33" t="s">
        <v>48</v>
      </c>
      <c r="B100" s="21"/>
      <c r="C100" s="48"/>
      <c r="D100" s="79" t="s">
        <v>12</v>
      </c>
      <c r="E100" s="38">
        <v>1</v>
      </c>
      <c r="F100" s="36">
        <v>440</v>
      </c>
      <c r="G100" s="34">
        <f>AA143</f>
        <v>440</v>
      </c>
      <c r="H100" s="59">
        <f>AA144</f>
        <v>3080</v>
      </c>
      <c r="I100" s="11"/>
      <c r="J100" s="1"/>
      <c r="K100" s="1"/>
      <c r="L100" s="1"/>
      <c r="AA100" s="2">
        <f>F76*E76</f>
        <v>336.6</v>
      </c>
    </row>
    <row r="101" spans="1:27" ht="15.45" x14ac:dyDescent="0.4">
      <c r="A101" s="25"/>
      <c r="B101" s="21"/>
      <c r="C101" s="21"/>
      <c r="D101" s="21"/>
      <c r="E101" s="21"/>
      <c r="F101" s="21"/>
      <c r="G101" s="21"/>
      <c r="H101" s="29"/>
      <c r="I101" s="11"/>
      <c r="J101" s="1"/>
      <c r="K101" s="1"/>
      <c r="L101" s="1"/>
      <c r="AA101" s="2">
        <f>G76*D4</f>
        <v>2356.2000000000003</v>
      </c>
    </row>
    <row r="102" spans="1:27" ht="15.45" x14ac:dyDescent="0.4">
      <c r="A102" s="25"/>
      <c r="B102" s="21"/>
      <c r="C102" s="21"/>
      <c r="D102" s="21"/>
      <c r="E102" s="21"/>
      <c r="F102" s="21"/>
      <c r="G102" s="21"/>
      <c r="H102" s="29"/>
      <c r="I102" s="11"/>
      <c r="J102" s="11"/>
      <c r="K102" s="1"/>
      <c r="L102" s="1"/>
      <c r="AA102" s="2">
        <f>F78*E78</f>
        <v>145.0000000000002</v>
      </c>
    </row>
    <row r="103" spans="1:27" ht="15.45" x14ac:dyDescent="0.4">
      <c r="A103" s="33"/>
      <c r="B103" s="21"/>
      <c r="C103" s="21"/>
      <c r="D103" s="21"/>
      <c r="E103" s="21"/>
      <c r="F103" s="35"/>
      <c r="G103" s="35"/>
      <c r="H103" s="81"/>
      <c r="I103" s="11"/>
      <c r="J103" s="11"/>
      <c r="K103" s="1"/>
      <c r="L103" s="1"/>
      <c r="AA103" s="2">
        <f>G78*D4</f>
        <v>1015.0000000000014</v>
      </c>
    </row>
    <row r="104" spans="1:27" ht="15.45" x14ac:dyDescent="0.4">
      <c r="A104" s="149" t="s">
        <v>160</v>
      </c>
      <c r="B104" s="21"/>
      <c r="C104" s="21"/>
      <c r="D104" s="58" t="s">
        <v>12</v>
      </c>
      <c r="E104" s="38">
        <v>1</v>
      </c>
      <c r="F104" s="36">
        <v>2615</v>
      </c>
      <c r="G104" s="34">
        <f>AA148</f>
        <v>2615</v>
      </c>
      <c r="H104" s="59">
        <f>AA149</f>
        <v>18305</v>
      </c>
      <c r="I104" s="11"/>
      <c r="J104" s="11"/>
      <c r="K104" s="1"/>
      <c r="L104" s="1"/>
      <c r="AA104" s="2">
        <f>F79*E79</f>
        <v>122.9729729729732</v>
      </c>
    </row>
    <row r="105" spans="1:27" ht="15.45" x14ac:dyDescent="0.4">
      <c r="A105" s="149" t="s">
        <v>161</v>
      </c>
      <c r="B105" s="21"/>
      <c r="C105" s="21"/>
      <c r="D105" s="58" t="s">
        <v>12</v>
      </c>
      <c r="E105" s="38">
        <v>1</v>
      </c>
      <c r="F105" s="36">
        <v>105</v>
      </c>
      <c r="G105" s="34">
        <f>AA150</f>
        <v>105</v>
      </c>
      <c r="H105" s="59">
        <f>AA151</f>
        <v>735</v>
      </c>
      <c r="I105" s="11"/>
      <c r="J105" s="11"/>
      <c r="K105" s="1"/>
      <c r="L105" s="1"/>
      <c r="AA105" s="2">
        <f>G79*D4</f>
        <v>860.81081081081243</v>
      </c>
    </row>
    <row r="106" spans="1:27" ht="15.45" x14ac:dyDescent="0.4">
      <c r="A106" s="149" t="s">
        <v>169</v>
      </c>
      <c r="B106" s="148"/>
      <c r="C106" s="148"/>
      <c r="D106" s="58" t="s">
        <v>12</v>
      </c>
      <c r="E106" s="38">
        <v>1</v>
      </c>
      <c r="F106" s="36">
        <v>140</v>
      </c>
      <c r="G106" s="34">
        <f>AA152</f>
        <v>140</v>
      </c>
      <c r="H106" s="59">
        <f>AA153</f>
        <v>980</v>
      </c>
      <c r="I106" s="11"/>
      <c r="J106" s="1"/>
      <c r="K106" s="1"/>
      <c r="L106" s="1"/>
      <c r="AA106" s="2">
        <f>F80*E80</f>
        <v>84.00000000000027</v>
      </c>
    </row>
    <row r="107" spans="1:27" ht="15.45" x14ac:dyDescent="0.4">
      <c r="A107" s="149" t="s">
        <v>170</v>
      </c>
      <c r="B107" s="21"/>
      <c r="C107" s="21"/>
      <c r="D107" s="58" t="s">
        <v>12</v>
      </c>
      <c r="E107" s="38">
        <v>1</v>
      </c>
      <c r="F107" s="36">
        <v>45</v>
      </c>
      <c r="G107" s="34">
        <f>AA154</f>
        <v>45</v>
      </c>
      <c r="H107" s="59">
        <f>AA155</f>
        <v>315</v>
      </c>
      <c r="I107" s="11"/>
      <c r="J107" s="1"/>
      <c r="K107" s="1"/>
      <c r="L107" s="1"/>
      <c r="AA107" s="2">
        <f>G80*D4</f>
        <v>588.00000000000193</v>
      </c>
    </row>
    <row r="108" spans="1:27" ht="15.45" x14ac:dyDescent="0.4">
      <c r="A108" s="25"/>
      <c r="B108" s="21"/>
      <c r="C108" s="48"/>
      <c r="D108" s="52" t="s">
        <v>110</v>
      </c>
      <c r="E108" s="82"/>
      <c r="F108" s="35"/>
      <c r="G108" s="48"/>
      <c r="H108" s="29"/>
      <c r="I108" s="11"/>
      <c r="J108" s="1"/>
      <c r="K108" s="1"/>
      <c r="L108" s="1"/>
    </row>
    <row r="109" spans="1:27" ht="15.45" x14ac:dyDescent="0.4">
      <c r="A109" s="25"/>
      <c r="B109" s="21"/>
      <c r="C109" s="48"/>
      <c r="D109" s="52" t="s">
        <v>111</v>
      </c>
      <c r="E109" s="82"/>
      <c r="F109" s="35"/>
      <c r="G109" s="52" t="s">
        <v>71</v>
      </c>
      <c r="H109" s="53" t="s">
        <v>101</v>
      </c>
      <c r="I109" s="11"/>
      <c r="J109" s="11"/>
      <c r="K109" s="1"/>
      <c r="L109" s="1"/>
    </row>
    <row r="110" spans="1:27" ht="15.45" x14ac:dyDescent="0.4">
      <c r="A110" s="33" t="s">
        <v>81</v>
      </c>
      <c r="B110" s="21"/>
      <c r="C110" s="48"/>
      <c r="D110" s="38">
        <v>585</v>
      </c>
      <c r="E110" s="83"/>
      <c r="F110" s="35"/>
      <c r="G110" s="34">
        <f ca="1">AA157</f>
        <v>585</v>
      </c>
      <c r="H110" s="59">
        <f ca="1">AA158</f>
        <v>4095</v>
      </c>
      <c r="I110" s="11"/>
      <c r="J110" s="11"/>
      <c r="K110" s="1"/>
      <c r="L110" s="1"/>
    </row>
    <row r="111" spans="1:27" ht="15.45" x14ac:dyDescent="0.4">
      <c r="A111" s="33" t="s">
        <v>82</v>
      </c>
      <c r="B111" s="21"/>
      <c r="C111" s="21"/>
      <c r="D111" s="38">
        <v>127</v>
      </c>
      <c r="E111" s="83"/>
      <c r="F111" s="35"/>
      <c r="G111" s="34">
        <f ca="1">AA160</f>
        <v>127</v>
      </c>
      <c r="H111" s="59">
        <f ca="1">AA161</f>
        <v>889</v>
      </c>
      <c r="I111" s="11"/>
      <c r="J111" s="11"/>
      <c r="K111" s="1"/>
      <c r="L111" s="1"/>
    </row>
    <row r="112" spans="1:27" ht="15.45" x14ac:dyDescent="0.4">
      <c r="A112" s="33" t="s">
        <v>112</v>
      </c>
      <c r="B112" s="21"/>
      <c r="C112" s="21"/>
      <c r="D112" s="38">
        <v>0</v>
      </c>
      <c r="E112" s="83"/>
      <c r="F112" s="21"/>
      <c r="G112" s="34">
        <f ca="1">AA163</f>
        <v>0</v>
      </c>
      <c r="H112" s="59">
        <f ca="1">AA164</f>
        <v>0</v>
      </c>
      <c r="I112" s="11"/>
      <c r="J112" s="11"/>
      <c r="K112" s="1"/>
      <c r="L112" s="1"/>
      <c r="AA112" s="2">
        <f>131/65</f>
        <v>2.0153846153846153</v>
      </c>
    </row>
    <row r="113" spans="1:27" ht="15.45" x14ac:dyDescent="0.4">
      <c r="A113" s="33" t="s">
        <v>113</v>
      </c>
      <c r="B113" s="21"/>
      <c r="C113" s="21"/>
      <c r="D113" s="38">
        <v>0</v>
      </c>
      <c r="E113" s="83"/>
      <c r="F113" s="21"/>
      <c r="G113" s="34">
        <f ca="1">AA166</f>
        <v>0</v>
      </c>
      <c r="H113" s="59">
        <f ca="1">AA167</f>
        <v>0</v>
      </c>
      <c r="I113" s="11"/>
      <c r="J113" s="11"/>
      <c r="K113" s="6" t="s">
        <v>19</v>
      </c>
      <c r="L113" s="1"/>
      <c r="AA113" s="2">
        <f>F84*E84</f>
        <v>459</v>
      </c>
    </row>
    <row r="114" spans="1:27" ht="15.45" x14ac:dyDescent="0.4">
      <c r="A114" s="33" t="s">
        <v>114</v>
      </c>
      <c r="B114" s="21"/>
      <c r="C114" s="21"/>
      <c r="D114" s="38">
        <v>0</v>
      </c>
      <c r="E114" s="83"/>
      <c r="F114" s="35"/>
      <c r="G114" s="34">
        <f ca="1">AA169</f>
        <v>0</v>
      </c>
      <c r="H114" s="59">
        <f ca="1">AA170</f>
        <v>0</v>
      </c>
      <c r="I114" s="11"/>
      <c r="J114" s="1"/>
      <c r="K114" s="6" t="s">
        <v>20</v>
      </c>
      <c r="L114" s="1"/>
      <c r="AA114" s="2">
        <f>G84*D4</f>
        <v>3213</v>
      </c>
    </row>
    <row r="115" spans="1:27" ht="15.45" x14ac:dyDescent="0.4">
      <c r="A115" s="33"/>
      <c r="B115" s="21"/>
      <c r="C115" s="21"/>
      <c r="D115" s="21"/>
      <c r="E115" s="84"/>
      <c r="F115" s="21"/>
      <c r="G115" s="21"/>
      <c r="H115" s="81"/>
      <c r="I115" s="11"/>
      <c r="J115" s="1"/>
      <c r="K115" s="6" t="s">
        <v>21</v>
      </c>
      <c r="L115" s="1"/>
      <c r="AA115" s="2">
        <f>F85*E85</f>
        <v>0</v>
      </c>
    </row>
    <row r="116" spans="1:27" ht="15.45" x14ac:dyDescent="0.4">
      <c r="A116" s="33" t="s">
        <v>84</v>
      </c>
      <c r="B116" s="21"/>
      <c r="C116" s="52" t="s">
        <v>116</v>
      </c>
      <c r="D116" s="52" t="s">
        <v>117</v>
      </c>
      <c r="E116" s="85"/>
      <c r="F116" s="35"/>
      <c r="G116" s="48"/>
      <c r="H116" s="81"/>
      <c r="I116" s="11"/>
      <c r="J116" s="11"/>
      <c r="K116" s="6" t="s">
        <v>22</v>
      </c>
      <c r="L116" s="1"/>
      <c r="AA116" s="2">
        <f>G85*D4</f>
        <v>0</v>
      </c>
    </row>
    <row r="117" spans="1:27" ht="15.45" x14ac:dyDescent="0.4">
      <c r="A117" s="33" t="s">
        <v>115</v>
      </c>
      <c r="B117" s="21"/>
      <c r="C117" s="38">
        <v>3.7</v>
      </c>
      <c r="D117" s="38">
        <v>50</v>
      </c>
      <c r="E117" s="83"/>
      <c r="F117" s="35"/>
      <c r="G117" s="34">
        <f ca="1">AA172</f>
        <v>333</v>
      </c>
      <c r="H117" s="59">
        <f ca="1">AA173</f>
        <v>2331</v>
      </c>
      <c r="I117" s="11"/>
      <c r="J117" s="11"/>
      <c r="K117" s="6" t="s">
        <v>23</v>
      </c>
      <c r="L117" s="1"/>
      <c r="AA117" s="2">
        <f>115/42</f>
        <v>2.7380952380952381</v>
      </c>
    </row>
    <row r="118" spans="1:27" ht="15.45" x14ac:dyDescent="0.4">
      <c r="A118" s="25"/>
      <c r="B118" s="21"/>
      <c r="C118" s="48"/>
      <c r="D118" s="21"/>
      <c r="E118" s="84"/>
      <c r="F118" s="35"/>
      <c r="G118" s="52" t="s">
        <v>13</v>
      </c>
      <c r="H118" s="53" t="s">
        <v>13</v>
      </c>
      <c r="I118" s="11"/>
      <c r="J118" s="11"/>
      <c r="K118" s="1"/>
      <c r="L118" s="1"/>
      <c r="AA118" s="2">
        <f>F87*E87</f>
        <v>253</v>
      </c>
    </row>
    <row r="119" spans="1:27" ht="15.45" x14ac:dyDescent="0.4">
      <c r="A119" s="33" t="s">
        <v>118</v>
      </c>
      <c r="B119" s="21"/>
      <c r="C119" s="48"/>
      <c r="D119" s="21"/>
      <c r="E119" s="84"/>
      <c r="F119" s="48"/>
      <c r="G119" s="34">
        <f ca="1">AA174</f>
        <v>18330.072972972965</v>
      </c>
      <c r="H119" s="59">
        <f ca="1">AA175</f>
        <v>128310.51081081075</v>
      </c>
      <c r="I119" s="11"/>
      <c r="J119" s="11"/>
      <c r="K119" s="1"/>
      <c r="L119" s="1"/>
      <c r="AA119" s="2">
        <f>G87*D4</f>
        <v>1771</v>
      </c>
    </row>
    <row r="120" spans="1:27" ht="15.45" x14ac:dyDescent="0.4">
      <c r="A120" s="33"/>
      <c r="B120" s="21"/>
      <c r="C120" s="48"/>
      <c r="D120" s="21"/>
      <c r="E120" s="84"/>
      <c r="F120" s="35"/>
      <c r="G120" s="48"/>
      <c r="H120" s="81"/>
      <c r="I120" s="11"/>
      <c r="J120" s="5">
        <f ca="1">AA176</f>
        <v>2331</v>
      </c>
      <c r="K120" s="6" t="s">
        <v>24</v>
      </c>
      <c r="L120" s="1"/>
      <c r="AA120" s="2">
        <f>F88*E88</f>
        <v>0</v>
      </c>
    </row>
    <row r="121" spans="1:27" ht="15.45" x14ac:dyDescent="0.4">
      <c r="A121" s="25"/>
      <c r="B121" s="21"/>
      <c r="C121" s="48"/>
      <c r="D121" s="52" t="s">
        <v>110</v>
      </c>
      <c r="E121" s="82"/>
      <c r="F121" s="35"/>
      <c r="G121" s="48"/>
      <c r="H121" s="81"/>
      <c r="I121" s="11"/>
      <c r="J121" s="11"/>
      <c r="K121" s="11"/>
      <c r="L121" s="1"/>
      <c r="AA121" s="2">
        <f>G88*D4</f>
        <v>0</v>
      </c>
    </row>
    <row r="122" spans="1:27" ht="15.45" x14ac:dyDescent="0.4">
      <c r="A122" s="33" t="s">
        <v>87</v>
      </c>
      <c r="B122" s="21"/>
      <c r="C122" s="21"/>
      <c r="D122" s="52" t="s">
        <v>111</v>
      </c>
      <c r="E122" s="82"/>
      <c r="F122" s="21"/>
      <c r="G122" s="52" t="s">
        <v>71</v>
      </c>
      <c r="H122" s="53" t="s">
        <v>148</v>
      </c>
      <c r="I122" s="11"/>
      <c r="J122" s="11"/>
      <c r="K122" s="11"/>
      <c r="L122" s="1"/>
      <c r="AA122" s="2">
        <f>12/3</f>
        <v>4</v>
      </c>
    </row>
    <row r="123" spans="1:27" ht="15.45" x14ac:dyDescent="0.4">
      <c r="A123" s="33" t="s">
        <v>119</v>
      </c>
      <c r="B123" s="21"/>
      <c r="C123" s="21"/>
      <c r="D123" s="38">
        <v>299</v>
      </c>
      <c r="E123" s="83"/>
      <c r="F123" s="35"/>
      <c r="G123" s="34">
        <f ca="1">AA178</f>
        <v>299</v>
      </c>
      <c r="H123" s="59">
        <f ca="1">AA179</f>
        <v>2093</v>
      </c>
      <c r="I123" s="1"/>
      <c r="J123" s="1"/>
      <c r="K123" s="1"/>
      <c r="L123" s="1"/>
      <c r="AA123" s="2">
        <f>F90*E90</f>
        <v>81</v>
      </c>
    </row>
    <row r="124" spans="1:27" ht="15.45" x14ac:dyDescent="0.4">
      <c r="A124" s="33" t="s">
        <v>120</v>
      </c>
      <c r="B124" s="21"/>
      <c r="C124" s="21"/>
      <c r="D124" s="38">
        <v>127</v>
      </c>
      <c r="E124" s="83"/>
      <c r="F124" s="21"/>
      <c r="G124" s="34">
        <f ca="1">AA181</f>
        <v>127</v>
      </c>
      <c r="H124" s="59">
        <f ca="1">AA182</f>
        <v>889</v>
      </c>
      <c r="I124" s="11"/>
      <c r="J124" s="1"/>
      <c r="K124" s="1"/>
      <c r="L124" s="1"/>
      <c r="AA124" s="2">
        <f>G90*D4</f>
        <v>567</v>
      </c>
    </row>
    <row r="125" spans="1:27" ht="15.45" x14ac:dyDescent="0.4">
      <c r="A125" s="33" t="s">
        <v>121</v>
      </c>
      <c r="B125" s="21"/>
      <c r="C125" s="21"/>
      <c r="D125" s="38">
        <v>0</v>
      </c>
      <c r="E125" s="83"/>
      <c r="F125" s="35"/>
      <c r="G125" s="34">
        <f ca="1">AA184</f>
        <v>0</v>
      </c>
      <c r="H125" s="59">
        <f ca="1">AA185</f>
        <v>0</v>
      </c>
      <c r="I125" s="11"/>
      <c r="J125" s="1"/>
      <c r="K125" s="1"/>
      <c r="L125" s="1"/>
      <c r="AA125" s="2">
        <f>F91*E91</f>
        <v>0</v>
      </c>
    </row>
    <row r="126" spans="1:27" ht="15.45" x14ac:dyDescent="0.4">
      <c r="A126" s="33" t="s">
        <v>154</v>
      </c>
      <c r="B126" s="21"/>
      <c r="C126" s="48"/>
      <c r="D126" s="38">
        <v>265</v>
      </c>
      <c r="E126" s="86"/>
      <c r="F126" s="86"/>
      <c r="G126" s="34">
        <f>AA145</f>
        <v>265</v>
      </c>
      <c r="H126" s="59">
        <f>AA146</f>
        <v>1855</v>
      </c>
      <c r="I126" s="11"/>
      <c r="J126" s="1"/>
      <c r="K126" s="6" t="s">
        <v>25</v>
      </c>
      <c r="L126" s="1"/>
      <c r="AA126" s="2">
        <f>G91*D4</f>
        <v>0</v>
      </c>
    </row>
    <row r="127" spans="1:27" ht="15.45" x14ac:dyDescent="0.4">
      <c r="A127" s="33" t="s">
        <v>122</v>
      </c>
      <c r="B127" s="21"/>
      <c r="C127" s="21"/>
      <c r="D127" s="38">
        <v>1300</v>
      </c>
      <c r="E127" s="83"/>
      <c r="F127" s="86"/>
      <c r="G127" s="34">
        <f ca="1">AA187</f>
        <v>1300</v>
      </c>
      <c r="H127" s="59">
        <f ca="1">AA188</f>
        <v>9100</v>
      </c>
      <c r="I127" s="11"/>
      <c r="J127" s="1"/>
      <c r="K127" s="6" t="s">
        <v>26</v>
      </c>
      <c r="L127" s="1"/>
    </row>
    <row r="128" spans="1:27" ht="15.45" x14ac:dyDescent="0.4">
      <c r="A128" s="127" t="s">
        <v>123</v>
      </c>
      <c r="B128" s="21"/>
      <c r="C128" s="21"/>
      <c r="D128" s="21"/>
      <c r="E128" s="21"/>
      <c r="F128" s="86"/>
      <c r="G128" s="34">
        <f>G69</f>
        <v>1676</v>
      </c>
      <c r="H128" s="59">
        <f>H69</f>
        <v>11732</v>
      </c>
      <c r="I128" s="11"/>
      <c r="J128" s="1"/>
      <c r="K128" s="6" t="s">
        <v>27</v>
      </c>
      <c r="L128" s="1"/>
    </row>
    <row r="129" spans="1:27" ht="15.45" x14ac:dyDescent="0.4">
      <c r="A129" s="33"/>
      <c r="B129" s="21"/>
      <c r="C129" s="21"/>
      <c r="D129" s="87"/>
      <c r="E129" s="83"/>
      <c r="F129" s="35"/>
      <c r="G129" s="34"/>
      <c r="H129" s="59"/>
      <c r="I129" s="11"/>
      <c r="J129" s="11"/>
      <c r="K129" s="6" t="s">
        <v>28</v>
      </c>
      <c r="L129" s="1"/>
    </row>
    <row r="130" spans="1:27" ht="15.45" x14ac:dyDescent="0.4">
      <c r="A130" s="25"/>
      <c r="B130" s="21"/>
      <c r="C130" s="21"/>
      <c r="D130" s="21"/>
      <c r="E130" s="21"/>
      <c r="F130" s="35"/>
      <c r="G130" s="23" t="s">
        <v>13</v>
      </c>
      <c r="H130" s="88" t="s">
        <v>13</v>
      </c>
      <c r="I130" s="11"/>
      <c r="J130" s="11"/>
      <c r="K130" s="11"/>
      <c r="L130" s="1"/>
    </row>
    <row r="131" spans="1:27" ht="15.45" x14ac:dyDescent="0.4">
      <c r="A131" s="69" t="s">
        <v>124</v>
      </c>
      <c r="B131" s="70"/>
      <c r="C131" s="70"/>
      <c r="D131" s="70"/>
      <c r="E131" s="70"/>
      <c r="F131" s="71"/>
      <c r="G131" s="72">
        <f ca="1">AA189</f>
        <v>3667</v>
      </c>
      <c r="H131" s="73">
        <f ca="1">AA190</f>
        <v>25669</v>
      </c>
      <c r="I131" s="1"/>
      <c r="J131" s="1"/>
      <c r="K131" s="1"/>
      <c r="L131" s="1"/>
      <c r="AA131" s="2">
        <f>F95*E95</f>
        <v>0</v>
      </c>
    </row>
    <row r="132" spans="1:27" ht="15.45" x14ac:dyDescent="0.4">
      <c r="A132" s="28"/>
      <c r="B132" s="28"/>
      <c r="C132" s="28"/>
      <c r="D132" s="28"/>
      <c r="E132" s="28"/>
      <c r="F132" s="28"/>
      <c r="G132" s="28"/>
      <c r="H132" s="28"/>
      <c r="I132" s="11"/>
      <c r="J132" s="11"/>
      <c r="K132" s="11"/>
      <c r="L132" s="1"/>
      <c r="AA132" s="2">
        <f>G95*D4</f>
        <v>0</v>
      </c>
    </row>
    <row r="133" spans="1:27" ht="15.45" x14ac:dyDescent="0.4">
      <c r="A133" s="16" t="s">
        <v>125</v>
      </c>
      <c r="B133" s="21"/>
      <c r="C133" s="21"/>
      <c r="D133" s="21"/>
      <c r="E133" s="52" t="s">
        <v>71</v>
      </c>
      <c r="F133" s="52" t="s">
        <v>101</v>
      </c>
      <c r="G133" s="89"/>
      <c r="H133" s="90"/>
      <c r="I133" s="11"/>
      <c r="J133" s="11"/>
      <c r="K133" s="11"/>
      <c r="L133" s="1"/>
      <c r="AA133" s="2">
        <f>F96*E96</f>
        <v>0</v>
      </c>
    </row>
    <row r="134" spans="1:27" ht="15.45" x14ac:dyDescent="0.4">
      <c r="A134" s="33" t="s">
        <v>126</v>
      </c>
      <c r="B134" s="21"/>
      <c r="C134" s="21"/>
      <c r="D134" s="21"/>
      <c r="E134" s="120">
        <f>AA191</f>
        <v>28000</v>
      </c>
      <c r="F134" s="120">
        <f>AA192</f>
        <v>196000</v>
      </c>
      <c r="G134" s="91"/>
      <c r="H134" s="81"/>
      <c r="I134" s="11"/>
      <c r="J134" s="11"/>
      <c r="K134" s="11"/>
      <c r="L134" s="1"/>
      <c r="AA134" s="2">
        <f>G96*D4</f>
        <v>0</v>
      </c>
    </row>
    <row r="135" spans="1:27" ht="15.45" x14ac:dyDescent="0.4">
      <c r="A135" s="33"/>
      <c r="B135" s="21"/>
      <c r="C135" s="21"/>
      <c r="D135" s="21"/>
      <c r="E135" s="120"/>
      <c r="F135" s="120"/>
      <c r="G135" s="35"/>
      <c r="H135" s="81"/>
      <c r="I135" s="11"/>
      <c r="J135" s="11"/>
      <c r="K135" s="11"/>
      <c r="L135" s="1"/>
      <c r="AA135" s="2">
        <f>F97*E97</f>
        <v>562.5</v>
      </c>
    </row>
    <row r="136" spans="1:27" ht="15.45" x14ac:dyDescent="0.4">
      <c r="A136" s="33" t="s">
        <v>127</v>
      </c>
      <c r="B136" s="21"/>
      <c r="C136" s="21"/>
      <c r="D136" s="21"/>
      <c r="E136" s="120">
        <f ca="1">AA195</f>
        <v>18330.072972972965</v>
      </c>
      <c r="F136" s="120">
        <f ca="1">AA196</f>
        <v>128310.51081081075</v>
      </c>
      <c r="G136" s="21"/>
      <c r="H136" s="81"/>
      <c r="I136" s="11"/>
      <c r="J136" s="11"/>
      <c r="K136" s="11"/>
      <c r="L136" s="1"/>
      <c r="AA136" s="2">
        <f>G97*D4</f>
        <v>3937.5</v>
      </c>
    </row>
    <row r="137" spans="1:27" ht="15.45" x14ac:dyDescent="0.4">
      <c r="A137" s="25"/>
      <c r="B137" s="21"/>
      <c r="C137" s="21"/>
      <c r="D137" s="21"/>
      <c r="E137" s="120" t="s">
        <v>13</v>
      </c>
      <c r="F137" s="120" t="s">
        <v>13</v>
      </c>
      <c r="G137" s="21"/>
      <c r="H137" s="29"/>
      <c r="I137" s="1"/>
      <c r="J137" s="1"/>
      <c r="K137" s="1"/>
      <c r="L137" s="1"/>
      <c r="AA137" s="2">
        <f>IF(UPPER(LEFT(D18,1))="O",1,0)</f>
        <v>0</v>
      </c>
    </row>
    <row r="138" spans="1:27" ht="15.45" x14ac:dyDescent="0.4">
      <c r="A138" s="33" t="s">
        <v>128</v>
      </c>
      <c r="B138" s="21"/>
      <c r="C138" s="21"/>
      <c r="D138" s="21"/>
      <c r="E138" s="120">
        <f ca="1">AA197</f>
        <v>9669.9270270270354</v>
      </c>
      <c r="F138" s="120">
        <f ca="1">AA198</f>
        <v>67689.489189189248</v>
      </c>
      <c r="G138" s="48"/>
      <c r="H138" s="44"/>
      <c r="I138" s="1"/>
      <c r="J138" s="1"/>
      <c r="K138" s="1"/>
      <c r="L138" s="1"/>
      <c r="AA138" s="12">
        <f>D12</f>
        <v>9.9999999999999995E-7</v>
      </c>
    </row>
    <row r="139" spans="1:27" ht="15.45" x14ac:dyDescent="0.4">
      <c r="A139" s="33" t="s">
        <v>129</v>
      </c>
      <c r="B139" s="21"/>
      <c r="C139" s="21"/>
      <c r="D139" s="21"/>
      <c r="E139" s="120">
        <f ca="1">AA199</f>
        <v>3667</v>
      </c>
      <c r="F139" s="120">
        <f ca="1">AA200</f>
        <v>25669</v>
      </c>
      <c r="G139" s="48"/>
      <c r="H139" s="44"/>
      <c r="I139" s="1"/>
      <c r="J139" s="1"/>
      <c r="K139" s="1"/>
      <c r="L139" s="1"/>
      <c r="AA139" s="2">
        <f>F98*E98</f>
        <v>0</v>
      </c>
    </row>
    <row r="140" spans="1:27" ht="15.45" x14ac:dyDescent="0.4">
      <c r="A140" s="25"/>
      <c r="B140" s="21"/>
      <c r="C140" s="48"/>
      <c r="D140" s="21"/>
      <c r="E140" s="120" t="s">
        <v>13</v>
      </c>
      <c r="F140" s="120" t="s">
        <v>13</v>
      </c>
      <c r="G140" s="48"/>
      <c r="H140" s="44"/>
      <c r="I140" s="1" t="s">
        <v>98</v>
      </c>
      <c r="J140" s="1"/>
      <c r="K140" s="1"/>
      <c r="L140" s="1"/>
      <c r="AA140" s="2">
        <f>G98*D4</f>
        <v>0</v>
      </c>
    </row>
    <row r="141" spans="1:27" ht="15.45" x14ac:dyDescent="0.4">
      <c r="A141" s="33" t="s">
        <v>130</v>
      </c>
      <c r="B141" s="21"/>
      <c r="C141" s="48"/>
      <c r="D141" s="21"/>
      <c r="E141" s="120">
        <f ca="1">AA201</f>
        <v>6002.9270270270354</v>
      </c>
      <c r="F141" s="120">
        <f ca="1">AA202</f>
        <v>42020.489189189248</v>
      </c>
      <c r="G141" s="48"/>
      <c r="H141" s="44"/>
      <c r="I141" s="1" t="s">
        <v>99</v>
      </c>
      <c r="J141" s="1"/>
      <c r="K141" s="1"/>
      <c r="L141" s="1"/>
      <c r="AA141" s="2">
        <f>F99*E99</f>
        <v>154</v>
      </c>
    </row>
    <row r="142" spans="1:27" ht="15.45" x14ac:dyDescent="0.4">
      <c r="A142" s="25"/>
      <c r="B142" s="21"/>
      <c r="C142" s="48"/>
      <c r="D142" s="21"/>
      <c r="E142" s="21"/>
      <c r="F142" s="35"/>
      <c r="G142" s="48"/>
      <c r="H142" s="44"/>
      <c r="I142" s="1" t="s">
        <v>100</v>
      </c>
      <c r="J142" s="1"/>
      <c r="K142" s="1"/>
      <c r="L142" s="1"/>
      <c r="AA142" s="2">
        <f>G99*D4</f>
        <v>1078</v>
      </c>
    </row>
    <row r="143" spans="1:27" ht="15.45" x14ac:dyDescent="0.4">
      <c r="A143" s="33" t="s">
        <v>131</v>
      </c>
      <c r="B143" s="21"/>
      <c r="C143" s="48"/>
      <c r="D143" s="21"/>
      <c r="E143" s="23" t="s">
        <v>132</v>
      </c>
      <c r="F143" s="21"/>
      <c r="G143" s="42">
        <f ca="1">AA203</f>
        <v>2.2912591216216205</v>
      </c>
      <c r="H143" s="81"/>
      <c r="I143" s="1"/>
      <c r="J143" s="1"/>
      <c r="K143" s="1"/>
      <c r="L143" s="1"/>
      <c r="AA143" s="2">
        <f>F100*E100</f>
        <v>440</v>
      </c>
    </row>
    <row r="144" spans="1:27" ht="15.45" x14ac:dyDescent="0.4">
      <c r="A144" s="25"/>
      <c r="B144" s="21"/>
      <c r="C144" s="48"/>
      <c r="D144" s="21"/>
      <c r="E144" s="23" t="s">
        <v>133</v>
      </c>
      <c r="F144" s="35"/>
      <c r="G144" s="42">
        <f ca="1">AA204</f>
        <v>0.45837499999999998</v>
      </c>
      <c r="H144" s="44"/>
      <c r="I144" s="1"/>
      <c r="J144" s="1"/>
      <c r="K144" s="1"/>
      <c r="L144" s="1"/>
      <c r="AA144" s="2">
        <f>G100*D4</f>
        <v>3080</v>
      </c>
    </row>
    <row r="145" spans="1:27" ht="15.45" x14ac:dyDescent="0.4">
      <c r="A145" s="25"/>
      <c r="B145" s="21"/>
      <c r="C145" s="21"/>
      <c r="D145" s="21"/>
      <c r="E145" s="35"/>
      <c r="F145" s="35"/>
      <c r="G145" s="52" t="s">
        <v>13</v>
      </c>
      <c r="H145" s="44"/>
      <c r="I145" s="11"/>
      <c r="J145" s="1"/>
      <c r="K145" s="1"/>
      <c r="L145" s="1"/>
      <c r="AA145" s="2">
        <f>D126</f>
        <v>265</v>
      </c>
    </row>
    <row r="146" spans="1:27" ht="15.45" x14ac:dyDescent="0.4">
      <c r="A146" s="92"/>
      <c r="B146" s="21"/>
      <c r="C146" s="21"/>
      <c r="D146" s="21"/>
      <c r="E146" s="23" t="s">
        <v>134</v>
      </c>
      <c r="F146" s="35"/>
      <c r="G146" s="42">
        <f ca="1">AA205</f>
        <v>2.7496341216216207</v>
      </c>
      <c r="H146" s="44"/>
      <c r="I146" s="11"/>
      <c r="J146" s="1"/>
      <c r="K146" s="1"/>
      <c r="L146" s="1"/>
      <c r="AA146" s="2">
        <f>G126*D4</f>
        <v>1855</v>
      </c>
    </row>
    <row r="147" spans="1:27" ht="15.45" x14ac:dyDescent="0.4">
      <c r="A147" s="28"/>
      <c r="B147" s="28"/>
      <c r="C147" s="28"/>
      <c r="D147" s="28"/>
      <c r="E147" s="28"/>
      <c r="F147" s="28"/>
      <c r="G147" s="28"/>
      <c r="H147" s="28"/>
      <c r="I147" s="8">
        <f ca="1">AA206</f>
        <v>6002.9270270270354</v>
      </c>
      <c r="J147" s="1"/>
      <c r="K147" s="1"/>
      <c r="L147" s="1"/>
      <c r="AA147" s="2">
        <f>200/25</f>
        <v>8</v>
      </c>
    </row>
    <row r="148" spans="1:27" ht="15.45" hidden="1" x14ac:dyDescent="0.4">
      <c r="A148" s="25"/>
      <c r="B148" s="21"/>
      <c r="C148" s="21"/>
      <c r="D148" s="21"/>
      <c r="E148" s="21"/>
      <c r="F148" s="21"/>
      <c r="G148" s="21"/>
      <c r="H148" s="29"/>
      <c r="I148" s="8">
        <f>AA207</f>
        <v>2000</v>
      </c>
      <c r="J148" s="1"/>
      <c r="K148" s="1"/>
      <c r="L148" s="1"/>
      <c r="AA148" s="2">
        <f>F104*E104</f>
        <v>2615</v>
      </c>
    </row>
    <row r="149" spans="1:27" ht="15.45" hidden="1" x14ac:dyDescent="0.4">
      <c r="A149" s="25"/>
      <c r="B149" s="21"/>
      <c r="C149" s="21"/>
      <c r="D149" s="21"/>
      <c r="E149" s="21"/>
      <c r="F149" s="21"/>
      <c r="G149" s="21"/>
      <c r="H149" s="29"/>
      <c r="I149" s="8">
        <f>AA208</f>
        <v>0.5</v>
      </c>
      <c r="J149" s="1"/>
      <c r="K149" s="1"/>
      <c r="L149" s="1"/>
      <c r="AA149" s="2">
        <f>G104*D4</f>
        <v>18305</v>
      </c>
    </row>
    <row r="150" spans="1:27" ht="15.45" hidden="1" x14ac:dyDescent="0.4">
      <c r="A150" s="25"/>
      <c r="B150" s="21"/>
      <c r="C150" s="21"/>
      <c r="D150" s="21"/>
      <c r="E150" s="21"/>
      <c r="F150" s="21"/>
      <c r="G150" s="21"/>
      <c r="H150" s="29"/>
      <c r="I150" s="8">
        <f>AA209</f>
        <v>8124.0384046359604</v>
      </c>
      <c r="J150" s="11"/>
      <c r="K150" s="1"/>
      <c r="L150" s="1"/>
      <c r="AA150" s="2">
        <f>F105*E105</f>
        <v>105</v>
      </c>
    </row>
    <row r="151" spans="1:27" ht="15.45" hidden="1" x14ac:dyDescent="0.4">
      <c r="A151" s="25"/>
      <c r="B151" s="21"/>
      <c r="C151" s="21"/>
      <c r="D151" s="21"/>
      <c r="E151" s="21"/>
      <c r="F151" s="21"/>
      <c r="G151" s="21"/>
      <c r="H151" s="29"/>
      <c r="I151" s="11"/>
      <c r="J151" s="11"/>
      <c r="K151" s="1"/>
      <c r="L151" s="1"/>
      <c r="AA151" s="2">
        <f>G105*D4</f>
        <v>735</v>
      </c>
    </row>
    <row r="152" spans="1:27" ht="15.45" hidden="1" x14ac:dyDescent="0.4">
      <c r="A152" s="25"/>
      <c r="B152" s="21"/>
      <c r="C152" s="21"/>
      <c r="D152" s="21"/>
      <c r="E152" s="21"/>
      <c r="F152" s="21"/>
      <c r="G152" s="21"/>
      <c r="H152" s="29"/>
      <c r="I152" s="8">
        <f ca="1">AA211</f>
        <v>0.73890923799689101</v>
      </c>
      <c r="J152" s="8">
        <f ca="1">AA212</f>
        <v>0.73890923799689101</v>
      </c>
      <c r="K152" s="1"/>
      <c r="L152" s="1"/>
      <c r="AA152" s="2">
        <f>F106*E106</f>
        <v>140</v>
      </c>
    </row>
    <row r="153" spans="1:27" ht="15.45" hidden="1" x14ac:dyDescent="0.4">
      <c r="A153" s="25"/>
      <c r="B153" s="21"/>
      <c r="C153" s="21"/>
      <c r="D153" s="21"/>
      <c r="E153" s="21"/>
      <c r="F153" s="21"/>
      <c r="G153" s="21"/>
      <c r="H153" s="29"/>
      <c r="I153" s="8">
        <f ca="1">AA214</f>
        <v>0.85385259242209344</v>
      </c>
      <c r="J153" s="8">
        <f ca="1">AA215</f>
        <v>0.85385259242209344</v>
      </c>
      <c r="K153" s="1"/>
      <c r="L153" s="1"/>
      <c r="AA153" s="2">
        <f>G106*D4</f>
        <v>980</v>
      </c>
    </row>
    <row r="154" spans="1:27" ht="15.45" hidden="1" x14ac:dyDescent="0.4">
      <c r="A154" s="25"/>
      <c r="B154" s="21"/>
      <c r="C154" s="21"/>
      <c r="D154" s="21"/>
      <c r="E154" s="21"/>
      <c r="F154" s="21"/>
      <c r="G154" s="21"/>
      <c r="H154" s="29"/>
      <c r="I154" s="8">
        <f ca="1">AA217</f>
        <v>0.30363408731553732</v>
      </c>
      <c r="J154" s="8">
        <f ca="1">AA218</f>
        <v>0.30363408731553732</v>
      </c>
      <c r="K154" s="1"/>
      <c r="L154" s="1"/>
      <c r="AA154" s="2">
        <f>F107*E107</f>
        <v>45</v>
      </c>
    </row>
    <row r="155" spans="1:27" ht="15.45" hidden="1" x14ac:dyDescent="0.4">
      <c r="A155" s="25"/>
      <c r="B155" s="21"/>
      <c r="C155" s="21"/>
      <c r="D155" s="21"/>
      <c r="E155" s="21"/>
      <c r="F155" s="21"/>
      <c r="G155" s="21"/>
      <c r="H155" s="29"/>
      <c r="I155" s="8">
        <f ca="1">AA219</f>
        <v>0.22998098271435616</v>
      </c>
      <c r="J155" s="8">
        <f ca="1">AA220</f>
        <v>0.22998098271435616</v>
      </c>
      <c r="K155" s="1"/>
      <c r="L155" s="1"/>
      <c r="AA155" s="2">
        <f>G107*D4</f>
        <v>315</v>
      </c>
    </row>
    <row r="156" spans="1:27" ht="15.45" x14ac:dyDescent="0.4">
      <c r="A156" s="25"/>
      <c r="B156" s="23" t="s">
        <v>135</v>
      </c>
      <c r="C156" s="21"/>
      <c r="D156" s="21"/>
      <c r="E156" s="35"/>
      <c r="F156" s="35"/>
      <c r="G156" s="93">
        <f ca="1">AA210</f>
        <v>0.77001901728564381</v>
      </c>
      <c r="H156" s="44"/>
      <c r="I156" s="11"/>
      <c r="J156" s="1"/>
      <c r="K156" s="1"/>
      <c r="L156" s="1"/>
      <c r="AA156" s="2">
        <f ca="1">IF(K113=0,0,HLOOKUP(A2,INDIRECT(K22),2,FALSE)*INDIRECT(K113)*0.01)</f>
        <v>0</v>
      </c>
    </row>
    <row r="157" spans="1:27" ht="15.45" x14ac:dyDescent="0.4">
      <c r="A157" s="25"/>
      <c r="B157" s="23" t="s">
        <v>136</v>
      </c>
      <c r="C157" s="21"/>
      <c r="D157" s="38">
        <v>0</v>
      </c>
      <c r="E157" s="23" t="s">
        <v>137</v>
      </c>
      <c r="F157" s="35"/>
      <c r="G157" s="93">
        <f ca="1">AA213</f>
        <v>0.77001901728564381</v>
      </c>
      <c r="H157" s="44"/>
      <c r="I157" s="1"/>
      <c r="J157" s="1"/>
      <c r="K157" s="1"/>
      <c r="L157" s="1"/>
      <c r="AA157" s="2">
        <f ca="1">H110/D4</f>
        <v>585</v>
      </c>
    </row>
    <row r="158" spans="1:27" ht="15.45" x14ac:dyDescent="0.4">
      <c r="A158" s="25"/>
      <c r="B158" s="23"/>
      <c r="C158" s="21"/>
      <c r="D158" s="94"/>
      <c r="E158" s="23"/>
      <c r="F158" s="35"/>
      <c r="G158" s="93"/>
      <c r="H158" s="44"/>
      <c r="I158" s="1"/>
      <c r="J158" s="1"/>
      <c r="K158" s="1"/>
      <c r="L158" s="1"/>
      <c r="AA158" s="2">
        <f ca="1">IF(E110=0,D110*D4,IF(INDIRECT(K113)&gt;0,E110,D110*D4))</f>
        <v>4095</v>
      </c>
    </row>
    <row r="159" spans="1:27" ht="15.45" x14ac:dyDescent="0.4">
      <c r="A159" s="25"/>
      <c r="B159" s="95"/>
      <c r="C159" s="96" t="s">
        <v>138</v>
      </c>
      <c r="D159" s="97" t="s">
        <v>139</v>
      </c>
      <c r="E159" s="21"/>
      <c r="F159" s="91"/>
      <c r="G159" s="42">
        <f>AA216</f>
        <v>0.29014422873699858</v>
      </c>
      <c r="H159" s="98" t="str">
        <f>IF(G159&lt;=0.2499,"Risque peu élevé",IF(AND(G159&gt;0.2499,G159&lt;0.4),"Risque moyen","Risque élevé"))</f>
        <v>Risque moyen</v>
      </c>
      <c r="I159" s="1"/>
      <c r="J159" s="1"/>
      <c r="K159" s="1"/>
      <c r="L159" s="1"/>
      <c r="AA159" s="2">
        <f ca="1">IF(K114=0,0,HLOOKUP(A2,INDIRECT(K22),3,FALSE)*INDIRECT(K114)*0.01)</f>
        <v>0</v>
      </c>
    </row>
    <row r="160" spans="1:27" ht="15.45" x14ac:dyDescent="0.4">
      <c r="A160" s="25"/>
      <c r="B160" s="21"/>
      <c r="C160" s="21"/>
      <c r="D160" s="21"/>
      <c r="E160" s="35"/>
      <c r="F160" s="35"/>
      <c r="G160" s="48"/>
      <c r="H160" s="99" t="s">
        <v>29</v>
      </c>
      <c r="I160" s="1"/>
      <c r="J160" s="1"/>
      <c r="K160" s="1"/>
      <c r="L160" s="1"/>
      <c r="AA160" s="2">
        <f ca="1">H111/D4</f>
        <v>127</v>
      </c>
    </row>
    <row r="161" spans="1:27" ht="15.45" x14ac:dyDescent="0.4">
      <c r="A161" s="25"/>
      <c r="B161" s="21"/>
      <c r="C161" s="52" t="s">
        <v>140</v>
      </c>
      <c r="D161" s="100"/>
      <c r="E161" s="52" t="s">
        <v>141</v>
      </c>
      <c r="F161" s="42"/>
      <c r="G161" s="48"/>
      <c r="H161" s="99" t="s">
        <v>30</v>
      </c>
      <c r="I161" s="1"/>
      <c r="J161" s="1"/>
      <c r="K161" s="1"/>
      <c r="L161" s="1"/>
      <c r="AA161" s="2">
        <f ca="1">IF(E111=0,D111*D4,IF(INDIRECT(K114)&gt;0,E111,D111*D4))</f>
        <v>889</v>
      </c>
    </row>
    <row r="162" spans="1:27" ht="15.45" x14ac:dyDescent="0.4">
      <c r="A162" s="25"/>
      <c r="B162" s="21"/>
      <c r="C162" s="34"/>
      <c r="D162" s="100"/>
      <c r="E162" s="52" t="s">
        <v>142</v>
      </c>
      <c r="F162" s="100"/>
      <c r="G162" s="22"/>
      <c r="H162" s="99" t="s">
        <v>31</v>
      </c>
      <c r="I162" s="1"/>
      <c r="J162" s="1"/>
      <c r="K162" s="1"/>
      <c r="L162" s="1"/>
      <c r="AA162" s="2">
        <f ca="1">IF(K115=0,0,HLOOKUP(A2,INDIRECT(K22),4,FALSE)*INDIRECT(K115)*0.01)</f>
        <v>0</v>
      </c>
    </row>
    <row r="163" spans="1:27" ht="15.45" x14ac:dyDescent="0.4">
      <c r="A163" s="25"/>
      <c r="B163" s="21"/>
      <c r="C163" s="34"/>
      <c r="D163" s="100"/>
      <c r="E163" s="42"/>
      <c r="F163" s="42"/>
      <c r="G163" s="48"/>
      <c r="H163" s="99" t="s">
        <v>32</v>
      </c>
      <c r="I163" s="1"/>
      <c r="J163" s="1"/>
      <c r="K163" s="1"/>
      <c r="L163" s="1"/>
      <c r="AA163" s="2">
        <f ca="1">H112/D4</f>
        <v>0</v>
      </c>
    </row>
    <row r="164" spans="1:27" ht="15.45" x14ac:dyDescent="0.4">
      <c r="A164" s="25"/>
      <c r="B164" s="21"/>
      <c r="C164" s="34">
        <f ca="1">AA221</f>
        <v>13883.244279523917</v>
      </c>
      <c r="D164" s="100"/>
      <c r="E164" s="52" t="s">
        <v>33</v>
      </c>
      <c r="F164" s="42"/>
      <c r="G164" s="48"/>
      <c r="H164" s="44"/>
      <c r="I164" s="1"/>
      <c r="J164" s="1"/>
      <c r="K164" s="1"/>
      <c r="L164" s="1"/>
      <c r="AA164" s="2">
        <f ca="1">IF(E112=0,D112*D4,IF(INDIRECT(K115)&gt;0,E112,D112*D4))</f>
        <v>0</v>
      </c>
    </row>
    <row r="165" spans="1:27" ht="15.45" x14ac:dyDescent="0.4">
      <c r="A165" s="25"/>
      <c r="B165" s="48"/>
      <c r="C165" s="34">
        <f ca="1">AA222</f>
        <v>9496.2635410204985</v>
      </c>
      <c r="D165" s="100"/>
      <c r="E165" s="52" t="s">
        <v>34</v>
      </c>
      <c r="F165" s="42"/>
      <c r="G165" s="48"/>
      <c r="H165" s="99" t="s">
        <v>35</v>
      </c>
      <c r="I165" s="1"/>
      <c r="J165" s="1"/>
      <c r="K165" s="1"/>
      <c r="L165" s="1"/>
      <c r="AA165" s="2">
        <f ca="1">IF(K116=0,0,HLOOKUP(A2,INDIRECT(K22),5,FALSE)*INDIRECT(K116)*0.01)</f>
        <v>0</v>
      </c>
    </row>
    <row r="166" spans="1:27" ht="15.45" x14ac:dyDescent="0.4">
      <c r="A166" s="25"/>
      <c r="B166" s="48"/>
      <c r="C166" s="34">
        <f ca="1">AA223</f>
        <v>6002.9270270270354</v>
      </c>
      <c r="D166" s="100"/>
      <c r="E166" s="52" t="s">
        <v>36</v>
      </c>
      <c r="F166" s="100"/>
      <c r="G166" s="22"/>
      <c r="H166" s="99" t="s">
        <v>37</v>
      </c>
      <c r="I166" s="1"/>
      <c r="J166" s="1"/>
      <c r="K166" s="1"/>
      <c r="L166" s="1"/>
      <c r="AA166" s="2">
        <f ca="1">H113/D4</f>
        <v>0</v>
      </c>
    </row>
    <row r="167" spans="1:27" ht="15.45" x14ac:dyDescent="0.4">
      <c r="A167" s="25"/>
      <c r="B167" s="48"/>
      <c r="C167" s="34">
        <f ca="1">AA224</f>
        <v>2509.5905130335723</v>
      </c>
      <c r="D167" s="100"/>
      <c r="E167" s="52" t="s">
        <v>38</v>
      </c>
      <c r="F167" s="100"/>
      <c r="G167" s="89"/>
      <c r="H167" s="99" t="s">
        <v>39</v>
      </c>
      <c r="I167" s="1"/>
      <c r="J167" s="1"/>
      <c r="K167" s="1"/>
      <c r="L167" s="1"/>
      <c r="AA167" s="2">
        <f ca="1">IF(E113=0,D113*D4,IF(INDIRECT(K116)&gt;0,E113,D113*D4))</f>
        <v>0</v>
      </c>
    </row>
    <row r="168" spans="1:27" ht="15.45" x14ac:dyDescent="0.4">
      <c r="A168" s="25"/>
      <c r="B168" s="21"/>
      <c r="C168" s="34">
        <f ca="1">AA225</f>
        <v>-1877.390225469846</v>
      </c>
      <c r="D168" s="100"/>
      <c r="E168" s="52" t="s">
        <v>40</v>
      </c>
      <c r="F168" s="100"/>
      <c r="G168" s="22"/>
      <c r="H168" s="99" t="s">
        <v>41</v>
      </c>
      <c r="I168" s="1"/>
      <c r="J168" s="1"/>
      <c r="K168" s="1"/>
      <c r="L168" s="1"/>
      <c r="AA168" s="2">
        <f ca="1">IF(K117=0,0,HLOOKUP(A2,INDIRECT(K22),6,FALSE)*INDIRECT(K117)*0.01)</f>
        <v>0</v>
      </c>
    </row>
    <row r="169" spans="1:27" ht="15.45" x14ac:dyDescent="0.4">
      <c r="A169" s="25"/>
      <c r="B169" s="21"/>
      <c r="C169" s="21"/>
      <c r="D169" s="21"/>
      <c r="E169" s="21"/>
      <c r="F169" s="21"/>
      <c r="G169" s="21"/>
      <c r="H169" s="99" t="s">
        <v>42</v>
      </c>
      <c r="I169" s="1"/>
      <c r="J169" s="1"/>
      <c r="K169" s="1"/>
      <c r="L169" s="1"/>
      <c r="AA169" s="2">
        <f ca="1">H114/D4</f>
        <v>0</v>
      </c>
    </row>
    <row r="170" spans="1:27" ht="15.45" x14ac:dyDescent="0.4">
      <c r="A170" s="101"/>
      <c r="B170" s="102"/>
      <c r="C170" s="102"/>
      <c r="D170" s="102"/>
      <c r="E170" s="102"/>
      <c r="F170" s="102"/>
      <c r="G170" s="102"/>
      <c r="H170" s="103"/>
      <c r="I170" s="1"/>
      <c r="J170" s="1"/>
      <c r="K170" s="1"/>
      <c r="L170" s="1"/>
      <c r="AA170" s="2">
        <f ca="1">IF(E114=0,D114*D4,IF(INDIRECT(K117)&gt;0,E114,D114*D4))</f>
        <v>0</v>
      </c>
    </row>
    <row r="171" spans="1:27" ht="15.45" x14ac:dyDescent="0.4">
      <c r="A171" s="104"/>
      <c r="B171" s="105"/>
      <c r="C171" s="105"/>
      <c r="D171" s="106" t="s">
        <v>143</v>
      </c>
      <c r="E171" s="105"/>
      <c r="F171" s="105"/>
      <c r="G171" s="105"/>
      <c r="H171" s="107"/>
      <c r="I171" s="1"/>
      <c r="J171" s="1"/>
      <c r="K171" s="1"/>
      <c r="L171" s="1"/>
      <c r="AA171" s="2">
        <f ca="1">IF(K120=0,0,HLOOKUP(A2,INDIRECT(K22),7,FALSE)*INDIRECT(K120)*0.01)</f>
        <v>0</v>
      </c>
    </row>
    <row r="172" spans="1:27" ht="15.45" x14ac:dyDescent="0.4">
      <c r="A172" s="108"/>
      <c r="B172" s="105"/>
      <c r="C172" s="105"/>
      <c r="D172" s="105"/>
      <c r="E172" s="105"/>
      <c r="F172" s="105"/>
      <c r="G172" s="105"/>
      <c r="H172" s="107"/>
      <c r="I172" s="1"/>
      <c r="J172" s="1"/>
      <c r="K172" s="1"/>
      <c r="L172" s="1"/>
      <c r="AA172" s="2">
        <f ca="1">H117/D4</f>
        <v>333</v>
      </c>
    </row>
    <row r="173" spans="1:27" ht="15.45" x14ac:dyDescent="0.4">
      <c r="A173" s="109"/>
      <c r="B173" s="105"/>
      <c r="C173" s="105"/>
      <c r="D173" s="109" t="s">
        <v>144</v>
      </c>
      <c r="E173" s="110"/>
      <c r="F173" s="110"/>
      <c r="G173" s="105"/>
      <c r="H173" s="107"/>
      <c r="I173" s="1"/>
      <c r="J173" s="1"/>
      <c r="K173" s="1"/>
      <c r="L173" s="1"/>
      <c r="AA173" s="2">
        <f ca="1">IF(E117=0,J120,IF(INDIRECT(K120)&gt;0,E117,J120))</f>
        <v>2331</v>
      </c>
    </row>
    <row r="174" spans="1:27" ht="15.45" x14ac:dyDescent="0.4">
      <c r="A174" s="111"/>
      <c r="B174" s="105"/>
      <c r="C174" s="105"/>
      <c r="D174" s="109" t="s">
        <v>145</v>
      </c>
      <c r="E174" s="110"/>
      <c r="F174" s="110"/>
      <c r="G174" s="105"/>
      <c r="H174" s="107"/>
      <c r="I174" s="1"/>
      <c r="J174" s="1"/>
      <c r="K174" s="1"/>
      <c r="L174" s="1"/>
      <c r="AA174" s="2">
        <f ca="1">H119/D4</f>
        <v>18330.072972972965</v>
      </c>
    </row>
    <row r="175" spans="1:27" ht="15.45" x14ac:dyDescent="0.4">
      <c r="A175" s="108"/>
      <c r="C175" s="105"/>
      <c r="D175" s="112" t="s">
        <v>44</v>
      </c>
      <c r="E175" s="110"/>
      <c r="F175" s="110"/>
      <c r="G175" s="105"/>
      <c r="H175" s="107"/>
      <c r="I175" s="1"/>
      <c r="J175" s="1"/>
      <c r="K175" s="1"/>
      <c r="L175" s="1"/>
      <c r="AA175" s="3">
        <f ca="1">SUM(H74:H117)</f>
        <v>128310.51081081075</v>
      </c>
    </row>
    <row r="176" spans="1:27" ht="15.45" x14ac:dyDescent="0.4">
      <c r="A176" s="108"/>
      <c r="B176" s="105"/>
      <c r="C176" s="105"/>
      <c r="D176" s="150" t="s">
        <v>146</v>
      </c>
      <c r="E176" s="110"/>
      <c r="F176" s="110"/>
      <c r="G176" s="105"/>
      <c r="H176" s="107"/>
      <c r="I176" s="1"/>
      <c r="J176" s="1"/>
      <c r="K176" s="1"/>
      <c r="L176" s="1"/>
      <c r="AA176" s="2">
        <f ca="1">ROUND(SUM(H75:H114)*C117*D117*0.0001,0)</f>
        <v>2331</v>
      </c>
    </row>
    <row r="177" spans="1:27" ht="15.45" x14ac:dyDescent="0.4">
      <c r="A177" s="113"/>
      <c r="B177" s="114"/>
      <c r="C177" s="114"/>
      <c r="D177" s="136"/>
      <c r="E177" s="115"/>
      <c r="F177" s="115"/>
      <c r="G177" s="116"/>
      <c r="H177" s="117"/>
      <c r="I177" s="1"/>
      <c r="J177" s="1"/>
      <c r="K177" s="1"/>
      <c r="L177" s="1"/>
      <c r="AA177" s="2">
        <f ca="1">IF(K126=0,0,HLOOKUP(A2,INDIRECT(K22),9,FALSE)*INDIRECT(K126)*0.01)</f>
        <v>0</v>
      </c>
    </row>
    <row r="178" spans="1:27" ht="15.45" x14ac:dyDescent="0.4">
      <c r="A178" s="137" t="s">
        <v>147</v>
      </c>
      <c r="B178" s="138"/>
      <c r="C178" s="138"/>
      <c r="D178" s="139"/>
      <c r="E178" s="139"/>
      <c r="F178" s="140"/>
      <c r="G178" s="140"/>
      <c r="H178" s="138"/>
      <c r="I178" s="1"/>
      <c r="J178" s="1"/>
      <c r="K178" s="1"/>
      <c r="L178" s="1"/>
      <c r="AA178" s="2">
        <f ca="1">H123/D4</f>
        <v>299</v>
      </c>
    </row>
    <row r="179" spans="1:27" x14ac:dyDescent="0.35">
      <c r="A179" s="15"/>
      <c r="B179" s="15"/>
      <c r="C179" s="15"/>
      <c r="D179" s="15"/>
      <c r="E179" s="15"/>
      <c r="F179" s="15"/>
      <c r="G179" s="15"/>
      <c r="H179" s="15"/>
      <c r="I179" s="1"/>
      <c r="J179" s="1"/>
      <c r="K179" s="1"/>
      <c r="L179" s="1"/>
      <c r="AA179" s="2">
        <f ca="1">IF(E123=0,D123*D4,IF(INDIRECT(K126)&gt;0,E123,D123*D4))</f>
        <v>2093</v>
      </c>
    </row>
    <row r="180" spans="1:27" x14ac:dyDescent="0.35">
      <c r="A180" s="15"/>
      <c r="B180" s="15"/>
      <c r="C180" s="15"/>
      <c r="D180" s="15"/>
      <c r="E180" s="15"/>
      <c r="F180" s="15"/>
      <c r="G180" s="15"/>
      <c r="H180" s="15"/>
      <c r="I180" s="1"/>
      <c r="J180" s="1"/>
      <c r="K180" s="1"/>
      <c r="L180" s="1"/>
      <c r="AA180" s="2">
        <f ca="1">IF(K127=0,0,HLOOKUP(A2,INDIRECT(K22),10,FALSE)*INDIRECT(K127)*0.01)</f>
        <v>0</v>
      </c>
    </row>
    <row r="181" spans="1:27" x14ac:dyDescent="0.35">
      <c r="A181" s="15"/>
      <c r="B181" s="15"/>
      <c r="C181" s="15"/>
      <c r="D181" s="15"/>
      <c r="E181" s="15"/>
      <c r="F181" s="15"/>
      <c r="G181" s="15"/>
      <c r="H181" s="15"/>
      <c r="I181" s="1"/>
      <c r="J181" s="1"/>
      <c r="K181" s="1"/>
      <c r="L181" s="1"/>
      <c r="AA181" s="2">
        <f ca="1">H124/D4</f>
        <v>127</v>
      </c>
    </row>
    <row r="182" spans="1:27" x14ac:dyDescent="0.35">
      <c r="A182" s="15"/>
      <c r="B182" s="15"/>
      <c r="C182" s="15"/>
      <c r="D182" s="15"/>
      <c r="E182" s="15"/>
      <c r="F182" s="15"/>
      <c r="G182" s="15"/>
      <c r="H182" s="15"/>
      <c r="I182" s="1"/>
      <c r="J182" s="1"/>
      <c r="K182" s="1"/>
      <c r="L182" s="1"/>
      <c r="AA182" s="2">
        <f ca="1">IF(E124=0,D124*D4,IF(INDIRECT(K127)&gt;0,E124,D124*D4))</f>
        <v>889</v>
      </c>
    </row>
    <row r="183" spans="1:27" x14ac:dyDescent="0.35">
      <c r="A183" s="15"/>
      <c r="B183" s="15"/>
      <c r="C183" s="15"/>
      <c r="D183" s="15"/>
      <c r="E183" s="15"/>
      <c r="F183" s="15"/>
      <c r="G183" s="15"/>
      <c r="H183" s="15"/>
      <c r="I183" s="1"/>
      <c r="J183" s="1"/>
      <c r="K183" s="1"/>
      <c r="L183" s="1"/>
      <c r="AA183" s="2">
        <f ca="1">IF(K128=0,0,HLOOKUP(A2,INDIRECT(K22),11,FALSE)*INDIRECT(K128)*0.01)</f>
        <v>0</v>
      </c>
    </row>
    <row r="184" spans="1:27" x14ac:dyDescent="0.35">
      <c r="A184" s="15"/>
      <c r="B184" s="15"/>
      <c r="C184" s="15"/>
      <c r="D184" s="15"/>
      <c r="E184" s="15"/>
      <c r="F184" s="15"/>
      <c r="G184" s="15"/>
      <c r="H184" s="15"/>
      <c r="I184" s="1"/>
      <c r="J184" s="1"/>
      <c r="K184" s="1"/>
      <c r="L184" s="1"/>
      <c r="AA184" s="2">
        <f ca="1">H125/D4</f>
        <v>0</v>
      </c>
    </row>
    <row r="185" spans="1:27" x14ac:dyDescent="0.35">
      <c r="A185" s="15"/>
      <c r="B185" s="15"/>
      <c r="C185" s="15"/>
      <c r="D185" s="15"/>
      <c r="E185" s="15"/>
      <c r="F185" s="15"/>
      <c r="G185" s="15"/>
      <c r="H185" s="15"/>
      <c r="I185" s="1"/>
      <c r="J185" s="1"/>
      <c r="K185" s="1"/>
      <c r="L185" s="1"/>
      <c r="AA185" s="2">
        <f ca="1">IF(E125=0,D125*D4,IF(INDIRECT(K128)&gt;0,E125,D125*D4))</f>
        <v>0</v>
      </c>
    </row>
    <row r="186" spans="1:27" x14ac:dyDescent="0.35">
      <c r="A186" s="15"/>
      <c r="B186" s="15"/>
      <c r="C186" s="15"/>
      <c r="D186" s="15"/>
      <c r="E186" s="15"/>
      <c r="F186" s="15"/>
      <c r="G186" s="15"/>
      <c r="H186" s="15"/>
      <c r="I186" s="1"/>
      <c r="J186" s="1"/>
      <c r="K186" s="1"/>
      <c r="L186" s="1"/>
      <c r="AA186" s="2">
        <f ca="1">IF(K129=0,0,HLOOKUP(A2,INDIRECT(K22),12,FALSE)*INDIRECT(K129)*0.01)</f>
        <v>0</v>
      </c>
    </row>
    <row r="187" spans="1:27" x14ac:dyDescent="0.35">
      <c r="A187" s="15"/>
      <c r="B187" s="15"/>
      <c r="C187" s="15"/>
      <c r="D187" s="15"/>
      <c r="E187" s="15"/>
      <c r="F187" s="15"/>
      <c r="G187" s="15"/>
      <c r="H187" s="15"/>
      <c r="I187" s="1"/>
      <c r="J187" s="1"/>
      <c r="K187" s="1"/>
      <c r="L187" s="1"/>
      <c r="AA187" s="2">
        <f ca="1">H127/D4</f>
        <v>1300</v>
      </c>
    </row>
    <row r="188" spans="1:27" x14ac:dyDescent="0.35">
      <c r="A188" s="15"/>
      <c r="B188" s="15"/>
      <c r="C188" s="15"/>
      <c r="D188" s="15"/>
      <c r="E188" s="15"/>
      <c r="F188" s="15"/>
      <c r="G188" s="15"/>
      <c r="H188" s="15"/>
      <c r="I188" s="1"/>
      <c r="J188" s="1"/>
      <c r="K188" s="1"/>
      <c r="L188" s="1"/>
      <c r="AA188" s="2">
        <f ca="1">IF(E127=0,D127*D4,IF(INDIRECT(K129)&gt;0,E127,D127*D4))</f>
        <v>9100</v>
      </c>
    </row>
    <row r="189" spans="1:27" x14ac:dyDescent="0.35">
      <c r="A189" s="15"/>
      <c r="B189" s="15"/>
      <c r="C189" s="15"/>
      <c r="D189" s="15"/>
      <c r="E189" s="15"/>
      <c r="F189" s="15"/>
      <c r="G189" s="15"/>
      <c r="H189" s="15"/>
      <c r="I189" s="1"/>
      <c r="J189" s="1"/>
      <c r="K189" s="1"/>
      <c r="L189" s="1"/>
      <c r="AA189" s="2">
        <f ca="1">H131/D4</f>
        <v>3667</v>
      </c>
    </row>
    <row r="190" spans="1:27" x14ac:dyDescent="0.35">
      <c r="A190" s="15"/>
      <c r="B190" s="15"/>
      <c r="C190" s="15"/>
      <c r="D190" s="15"/>
      <c r="E190" s="15"/>
      <c r="F190" s="15"/>
      <c r="G190" s="15"/>
      <c r="H190" s="15"/>
      <c r="I190" s="1"/>
      <c r="J190" s="1"/>
      <c r="K190" s="1"/>
      <c r="L190" s="1"/>
      <c r="AA190" s="3">
        <f ca="1">SUM(H123:H129)</f>
        <v>25669</v>
      </c>
    </row>
    <row r="191" spans="1:27" x14ac:dyDescent="0.35">
      <c r="A191" s="15"/>
      <c r="B191" s="15"/>
      <c r="C191" s="15"/>
      <c r="D191" s="15"/>
      <c r="E191" s="15"/>
      <c r="F191" s="15"/>
      <c r="G191" s="15"/>
      <c r="H191" s="15"/>
      <c r="I191" s="1"/>
      <c r="J191" s="1"/>
      <c r="K191" s="1"/>
      <c r="L191" s="1"/>
      <c r="AA191" s="2">
        <f>E7*E8</f>
        <v>28000</v>
      </c>
    </row>
    <row r="192" spans="1:27" x14ac:dyDescent="0.35">
      <c r="A192" s="15"/>
      <c r="B192" s="15"/>
      <c r="C192" s="15"/>
      <c r="D192" s="15"/>
      <c r="E192" s="15"/>
      <c r="F192" s="15"/>
      <c r="G192" s="15"/>
      <c r="H192" s="15"/>
      <c r="I192" s="1"/>
      <c r="J192" s="1"/>
      <c r="K192" s="1"/>
      <c r="L192" s="1"/>
      <c r="AA192" s="2">
        <f>E134*D4</f>
        <v>196000</v>
      </c>
    </row>
    <row r="193" spans="1:27" x14ac:dyDescent="0.35">
      <c r="A193" s="15"/>
      <c r="B193" s="15"/>
      <c r="C193" s="15"/>
      <c r="D193" s="15"/>
      <c r="E193" s="15"/>
      <c r="F193" s="15"/>
      <c r="G193" s="15"/>
      <c r="H193" s="15"/>
      <c r="I193" s="1"/>
      <c r="J193" s="1"/>
      <c r="K193" s="1"/>
      <c r="L193" s="1"/>
      <c r="AA193" s="2">
        <f>IF(E98=1,D16,0)</f>
        <v>0</v>
      </c>
    </row>
    <row r="194" spans="1:27" x14ac:dyDescent="0.35">
      <c r="A194" s="15"/>
      <c r="B194" s="15"/>
      <c r="C194" s="15"/>
      <c r="D194" s="15"/>
      <c r="E194" s="15"/>
      <c r="F194" s="15"/>
      <c r="G194" s="15"/>
      <c r="H194" s="15"/>
      <c r="I194" s="1"/>
      <c r="J194" s="1"/>
      <c r="K194" s="1"/>
      <c r="L194" s="1"/>
      <c r="AA194" s="2">
        <f>E135*D4</f>
        <v>0</v>
      </c>
    </row>
    <row r="195" spans="1:27" x14ac:dyDescent="0.35">
      <c r="A195" s="15"/>
      <c r="B195" s="15"/>
      <c r="C195" s="15"/>
      <c r="D195" s="15"/>
      <c r="E195" s="15"/>
      <c r="F195" s="15"/>
      <c r="G195" s="15"/>
      <c r="H195" s="15"/>
      <c r="I195" s="1"/>
      <c r="J195" s="1"/>
      <c r="K195" s="1"/>
      <c r="L195" s="1"/>
      <c r="AA195" s="2">
        <f ca="1">F136/D4</f>
        <v>18330.072972972965</v>
      </c>
    </row>
    <row r="196" spans="1:27" x14ac:dyDescent="0.35">
      <c r="A196" s="15"/>
      <c r="B196" s="15"/>
      <c r="C196" s="15"/>
      <c r="D196" s="15"/>
      <c r="E196" s="15"/>
      <c r="F196" s="15"/>
      <c r="G196" s="15"/>
      <c r="H196" s="15"/>
      <c r="I196" s="1"/>
      <c r="J196" s="1"/>
      <c r="K196" s="1"/>
      <c r="L196" s="1"/>
      <c r="AA196" s="3">
        <f ca="1">H119</f>
        <v>128310.51081081075</v>
      </c>
    </row>
    <row r="197" spans="1:27" x14ac:dyDescent="0.35">
      <c r="A197" s="15"/>
      <c r="B197" s="15"/>
      <c r="C197" s="15"/>
      <c r="D197" s="15"/>
      <c r="E197" s="15"/>
      <c r="F197" s="15"/>
      <c r="G197" s="15"/>
      <c r="H197" s="15"/>
      <c r="I197" s="1"/>
      <c r="J197" s="1"/>
      <c r="K197" s="1"/>
      <c r="L197" s="1"/>
      <c r="AA197" s="2">
        <f ca="1">F138/D4</f>
        <v>9669.9270270270354</v>
      </c>
    </row>
    <row r="198" spans="1:27" x14ac:dyDescent="0.35">
      <c r="A198" s="15"/>
      <c r="B198" s="15"/>
      <c r="C198" s="15"/>
      <c r="D198" s="15"/>
      <c r="E198" s="15"/>
      <c r="F198" s="15"/>
      <c r="G198" s="15"/>
      <c r="H198" s="15"/>
      <c r="I198" s="1"/>
      <c r="J198" s="1"/>
      <c r="K198" s="1"/>
      <c r="L198" s="1"/>
      <c r="AA198" s="3">
        <f ca="1">SUM(F134:F135)-F136</f>
        <v>67689.489189189248</v>
      </c>
    </row>
    <row r="199" spans="1:27" x14ac:dyDescent="0.35">
      <c r="A199" s="15"/>
      <c r="B199" s="15"/>
      <c r="C199" s="15"/>
      <c r="D199" s="15"/>
      <c r="E199" s="15"/>
      <c r="F199" s="15"/>
      <c r="G199" s="15"/>
      <c r="H199" s="15"/>
      <c r="I199" s="1"/>
      <c r="J199" s="1"/>
      <c r="K199" s="1"/>
      <c r="L199" s="1"/>
      <c r="AA199" s="2">
        <f ca="1">F139/D4</f>
        <v>3667</v>
      </c>
    </row>
    <row r="200" spans="1:27" x14ac:dyDescent="0.35">
      <c r="A200" s="15"/>
      <c r="B200" s="15"/>
      <c r="C200" s="15"/>
      <c r="D200" s="15"/>
      <c r="E200" s="15"/>
      <c r="F200" s="15"/>
      <c r="G200" s="15"/>
      <c r="H200" s="15"/>
      <c r="I200" s="1"/>
      <c r="J200" s="1"/>
      <c r="K200" s="1"/>
      <c r="L200" s="1"/>
      <c r="AA200" s="3">
        <f ca="1">H131</f>
        <v>25669</v>
      </c>
    </row>
    <row r="201" spans="1:27" x14ac:dyDescent="0.35">
      <c r="A201" s="15"/>
      <c r="B201" s="15"/>
      <c r="C201" s="15"/>
      <c r="D201" s="15"/>
      <c r="E201" s="15"/>
      <c r="F201" s="15"/>
      <c r="G201" s="15"/>
      <c r="H201" s="15"/>
      <c r="I201" s="1"/>
      <c r="J201" s="1"/>
      <c r="K201" s="1"/>
      <c r="L201" s="1"/>
      <c r="AA201" s="3">
        <f ca="1">E138-E139</f>
        <v>6002.9270270270354</v>
      </c>
    </row>
    <row r="202" spans="1:27" x14ac:dyDescent="0.35">
      <c r="A202" s="15"/>
      <c r="B202" s="15"/>
      <c r="C202" s="15"/>
      <c r="D202" s="15"/>
      <c r="E202" s="15"/>
      <c r="F202" s="15"/>
      <c r="G202" s="15"/>
      <c r="H202" s="15"/>
      <c r="AA202" s="3">
        <f ca="1">F138-F139</f>
        <v>42020.489189189248</v>
      </c>
    </row>
    <row r="203" spans="1:27" x14ac:dyDescent="0.35">
      <c r="A203" s="15"/>
      <c r="B203" s="15"/>
      <c r="C203" s="15"/>
      <c r="D203" s="15"/>
      <c r="E203" s="15"/>
      <c r="F203" s="15"/>
      <c r="G203" s="15"/>
      <c r="H203" s="15"/>
      <c r="AA203" s="2">
        <f ca="1">E136/E7</f>
        <v>2.2912591216216205</v>
      </c>
    </row>
    <row r="204" spans="1:27" x14ac:dyDescent="0.35">
      <c r="A204" s="15"/>
      <c r="B204" s="15"/>
      <c r="C204" s="15"/>
      <c r="D204" s="15"/>
      <c r="E204" s="15"/>
      <c r="F204" s="15"/>
      <c r="G204" s="15"/>
      <c r="H204" s="15"/>
      <c r="AA204" s="2">
        <f ca="1">E139/E7</f>
        <v>0.45837499999999998</v>
      </c>
    </row>
    <row r="205" spans="1:27" x14ac:dyDescent="0.35">
      <c r="A205" s="15"/>
      <c r="B205" s="15"/>
      <c r="C205" s="15"/>
      <c r="D205" s="15"/>
      <c r="E205" s="15"/>
      <c r="F205" s="15"/>
      <c r="G205" s="15"/>
      <c r="H205" s="15"/>
      <c r="AA205" s="12">
        <f ca="1">G143+G144</f>
        <v>2.7496341216216207</v>
      </c>
    </row>
    <row r="206" spans="1:27" x14ac:dyDescent="0.35">
      <c r="A206" s="15"/>
      <c r="B206" s="15"/>
      <c r="C206" s="15"/>
      <c r="D206" s="15"/>
      <c r="E206" s="15"/>
      <c r="F206" s="15"/>
      <c r="G206" s="15"/>
      <c r="H206" s="15"/>
      <c r="AA206" s="3">
        <f ca="1">E141</f>
        <v>6002.9270270270354</v>
      </c>
    </row>
    <row r="207" spans="1:27" x14ac:dyDescent="0.35">
      <c r="AA207" s="2">
        <f>IF(E98=1,0.19465*E7+0.66805*((C7-G7)/2)-0.20342*D13,(C7-G7)/2)</f>
        <v>2000</v>
      </c>
    </row>
    <row r="208" spans="1:27" x14ac:dyDescent="0.35">
      <c r="AA208" s="2">
        <f>(C8-G8)/2</f>
        <v>0.5</v>
      </c>
    </row>
    <row r="209" spans="27:27" x14ac:dyDescent="0.35">
      <c r="AA209" s="2">
        <f>SQRT((E7*I149)^2+(E8*I148)^2+(I148*I149)^2)</f>
        <v>8124.0384046359604</v>
      </c>
    </row>
    <row r="210" spans="27:27" x14ac:dyDescent="0.35">
      <c r="AA210" s="2">
        <f ca="1">IF(I147&gt;0,1-I155,I155)</f>
        <v>0.77001901728564381</v>
      </c>
    </row>
    <row r="211" spans="27:27" x14ac:dyDescent="0.35">
      <c r="AA211" s="2">
        <f ca="1">ABS(I147/I150)</f>
        <v>0.73890923799689101</v>
      </c>
    </row>
    <row r="212" spans="27:27" x14ac:dyDescent="0.35">
      <c r="AA212" s="2">
        <f ca="1">ABS((I147-D157)/I150)</f>
        <v>0.73890923799689101</v>
      </c>
    </row>
    <row r="213" spans="27:27" x14ac:dyDescent="0.35">
      <c r="AA213" s="2">
        <f ca="1">IF(I147-D157&gt;0,1-J155,J155)</f>
        <v>0.77001901728564381</v>
      </c>
    </row>
    <row r="214" spans="27:27" x14ac:dyDescent="0.35">
      <c r="AA214" s="2">
        <f ca="1">1/(1+(0.2316419*I152))</f>
        <v>0.85385259242209344</v>
      </c>
    </row>
    <row r="215" spans="27:27" x14ac:dyDescent="0.35">
      <c r="AA215" s="2">
        <f ca="1">1/(1+(0.2316419*J152))</f>
        <v>0.85385259242209344</v>
      </c>
    </row>
    <row r="216" spans="27:27" x14ac:dyDescent="0.35">
      <c r="AA216" s="2">
        <f>I150/E134</f>
        <v>0.29014422873699858</v>
      </c>
    </row>
    <row r="217" spans="27:27" x14ac:dyDescent="0.35">
      <c r="AA217" s="2">
        <f ca="1">0.398942281*EXP(I152^2/-2)</f>
        <v>0.30363408731553732</v>
      </c>
    </row>
    <row r="218" spans="27:27" x14ac:dyDescent="0.35">
      <c r="AA218" s="2">
        <f ca="1">0.398942281*EXP(J152^2/-2)</f>
        <v>0.30363408731553732</v>
      </c>
    </row>
    <row r="219" spans="27:27" x14ac:dyDescent="0.35">
      <c r="AA219" s="2">
        <f ca="1">I154*(0.31938153*I153-0.356563782*I153^2+1.781477937*I153^3-1.821255978*I153^4+1.330274429*I153^5)</f>
        <v>0.22998098271435616</v>
      </c>
    </row>
    <row r="220" spans="27:27" x14ac:dyDescent="0.35">
      <c r="AA220" s="2">
        <f ca="1">J154*(0.31938153*J153-0.356563782*J153^2+1.781477937*J153^3-1.821255978*J153^4+1.330274429*J153^5)</f>
        <v>0.22998098271435616</v>
      </c>
    </row>
    <row r="221" spans="27:27" x14ac:dyDescent="0.35">
      <c r="AA221" s="2">
        <f ca="1">I147+0.97*I150</f>
        <v>13883.244279523917</v>
      </c>
    </row>
    <row r="222" spans="27:27" x14ac:dyDescent="0.35">
      <c r="AA222" s="2">
        <f ca="1">I147+0.43*I150</f>
        <v>9496.2635410204985</v>
      </c>
    </row>
    <row r="223" spans="27:27" x14ac:dyDescent="0.35">
      <c r="AA223" s="10">
        <f ca="1">I147</f>
        <v>6002.9270270270354</v>
      </c>
    </row>
    <row r="224" spans="27:27" x14ac:dyDescent="0.35">
      <c r="AA224" s="2">
        <f ca="1">I147-0.43*I150</f>
        <v>2509.5905130335723</v>
      </c>
    </row>
    <row r="225" spans="27:27" x14ac:dyDescent="0.35">
      <c r="AA225" s="2">
        <f ca="1">I147-0.97*I150</f>
        <v>-1877.390225469846</v>
      </c>
    </row>
  </sheetData>
  <sheetProtection algorithmName="SHA-512" hashValue="aoj+SjA2Lqm4WydXh2OBbSoKp0kGmzgXcvyudOvmQZjUcV7yqQ5j6RiLBvpi2eAkHign8yhYYggIf/IfEOQFZQ==" saltValue="SamPmRNBxYKtFwGTJN1V0g==" spinCount="100000" sheet="1" objects="1" scenarios="1"/>
  <phoneticPr fontId="3" type="noConversion"/>
  <conditionalFormatting sqref="H159">
    <cfRule type="cellIs" dxfId="2" priority="1" stopIfTrue="1" operator="equal">
      <formula>$I$140</formula>
    </cfRule>
    <cfRule type="cellIs" dxfId="1" priority="2" stopIfTrue="1" operator="equal">
      <formula>$I$141</formula>
    </cfRule>
    <cfRule type="cellIs" dxfId="0" priority="3" stopIfTrue="1" operator="equal">
      <formula>$I$142</formula>
    </cfRule>
  </conditionalFormatting>
  <hyperlinks>
    <hyperlink ref="D175" r:id="rId1" xr:uid="{00000000-0004-0000-0000-000000000000}"/>
  </hyperlinks>
  <pageMargins left="0.75" right="0.75" top="1" bottom="1" header="0.5" footer="0.5"/>
  <pageSetup scale="60" orientation="portrait" blackAndWhite="1" r:id="rId2"/>
  <headerFooter alignWithMargins="0">
    <oddHeader xml:space="preserve">&amp;L                                                                        </oddHeader>
    <oddFooter>&amp;CPage -&amp;P-&amp;R</oddFooter>
  </headerFooter>
  <rowBreaks count="2" manualBreakCount="2">
    <brk id="70" max="24" man="1"/>
    <brk id="129" max="24" man="1"/>
  </rowBreaks>
  <colBreaks count="1" manualBreakCount="1">
    <brk id="8" max="1048575" man="1"/>
  </colBreak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842F08D5C4194AB3AA6AD98986A4CA" ma:contentTypeVersion="53" ma:contentTypeDescription="Create a new document." ma:contentTypeScope="" ma:versionID="9ca5a872395d775aaad24c3bbe20b668">
  <xsd:schema xmlns:xsd="http://www.w3.org/2001/XMLSchema" xmlns:xs="http://www.w3.org/2001/XMLSchema" xmlns:p="http://schemas.microsoft.com/office/2006/metadata/properties" xmlns:ns2="9d38d736-0ce9-4dad-a921-92d39cb0d1f8" xmlns:ns3="a0633713-7183-4e0c-a7f3-9aefb849a633" targetNamespace="http://schemas.microsoft.com/office/2006/metadata/properties" ma:root="true" ma:fieldsID="0d11d0cbf4e6a6c99bf7629558a474f1" ns2:_="" ns3:_="">
    <xsd:import namespace="9d38d736-0ce9-4dad-a921-92d39cb0d1f8"/>
    <xsd:import namespace="a0633713-7183-4e0c-a7f3-9aefb849a63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38d736-0ce9-4dad-a921-92d39cb0d1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93fd262-f747-430a-9d72-58e750b831fb}" ma:internalName="TaxCatchAll" ma:showField="CatchAllData" ma:web="9d38d736-0ce9-4dad-a921-92d39cb0d1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633713-7183-4e0c-a7f3-9aefb849a63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c03f8475-640f-4944-9dcc-2d3788384b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a0633713-7183-4e0c-a7f3-9aefb849a633">
      <Terms xmlns="http://schemas.microsoft.com/office/infopath/2007/PartnerControls"/>
    </lcf76f155ced4ddcb4097134ff3c332f>
    <TaxCatchAll xmlns="9d38d736-0ce9-4dad-a921-92d39cb0d1f8" xsi:nil="true"/>
  </documentManagement>
</p:properties>
</file>

<file path=customXml/itemProps1.xml><?xml version="1.0" encoding="utf-8"?>
<ds:datastoreItem xmlns:ds="http://schemas.openxmlformats.org/officeDocument/2006/customXml" ds:itemID="{9A9BED4B-C52D-4BD8-88DD-3FD00FC354F8}"/>
</file>

<file path=customXml/itemProps2.xml><?xml version="1.0" encoding="utf-8"?>
<ds:datastoreItem xmlns:ds="http://schemas.openxmlformats.org/officeDocument/2006/customXml" ds:itemID="{A9BD7E56-BAF0-4065-917C-3204CD991132}"/>
</file>

<file path=customXml/itemProps3.xml><?xml version="1.0" encoding="utf-8"?>
<ds:datastoreItem xmlns:ds="http://schemas.openxmlformats.org/officeDocument/2006/customXml" ds:itemID="{B88B3724-E297-44BE-8073-9C8B03DFBB4B}"/>
</file>

<file path=customXml/itemProps4.xml><?xml version="1.0" encoding="utf-8"?>
<ds:datastoreItem xmlns:ds="http://schemas.openxmlformats.org/officeDocument/2006/customXml" ds:itemID="{D18DE1D7-16B5-472B-8EF1-A8793EF8EDCB}"/>
</file>

<file path=docMetadata/LabelInfo.xml><?xml version="1.0" encoding="utf-8"?>
<clbl:labelList xmlns:clbl="http://schemas.microsoft.com/office/2020/mipLabelMetadata">
  <clbl:label id="{034a106e-6316-442c-ad35-738afd673d2b}" enabled="1" method="Privilege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BLUE</vt:lpstr>
      <vt:lpstr>BLUE!Print_Area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Molenhuis, John (OMAFRA)</dc:creator>
  <cp:lastModifiedBy>Molenhuis, John (OMAFRA)</cp:lastModifiedBy>
  <cp:lastPrinted>2011-05-26T19:05:53Z</cp:lastPrinted>
  <dcterms:created xsi:type="dcterms:W3CDTF">2011-05-25T18:49:26Z</dcterms:created>
  <dcterms:modified xsi:type="dcterms:W3CDTF">2024-05-21T19:12:35Z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iteId">
    <vt:lpwstr>cddc1229-ac2a-4b97-b78a-0e5cacb5865c</vt:lpwstr>
  </property>
  <property fmtid="{D5CDD505-2E9C-101B-9397-08002B2CF9AE}" pid="4" name="MSIP_Label_034a106e-6316-442c-ad35-738afd673d2b_Owner">
    <vt:lpwstr>john.molenhuis@ontario.ca</vt:lpwstr>
  </property>
  <property fmtid="{D5CDD505-2E9C-101B-9397-08002B2CF9AE}" pid="5" name="MSIP_Label_034a106e-6316-442c-ad35-738afd673d2b_SetDate">
    <vt:lpwstr>2020-06-05T18:39:31.6613319Z</vt:lpwstr>
  </property>
  <property fmtid="{D5CDD505-2E9C-101B-9397-08002B2CF9AE}" pid="6" name="MSIP_Label_034a106e-6316-442c-ad35-738afd673d2b_Name">
    <vt:lpwstr>OPS - Unclassified Information</vt:lpwstr>
  </property>
  <property fmtid="{D5CDD505-2E9C-101B-9397-08002B2CF9AE}" pid="7" name="MSIP_Label_034a106e-6316-442c-ad35-738afd673d2b_Application">
    <vt:lpwstr>Microsoft Azure Information Protection</vt:lpwstr>
  </property>
  <property fmtid="{D5CDD505-2E9C-101B-9397-08002B2CF9AE}" pid="8" name="MSIP_Label_034a106e-6316-442c-ad35-738afd673d2b_ActionId">
    <vt:lpwstr>34df52cf-69d7-4bbe-becc-063984c458bb</vt:lpwstr>
  </property>
  <property fmtid="{D5CDD505-2E9C-101B-9397-08002B2CF9AE}" pid="9" name="MSIP_Label_034a106e-6316-442c-ad35-738afd673d2b_Extended_MSFT_Method">
    <vt:lpwstr>Automatic</vt:lpwstr>
  </property>
  <property fmtid="{D5CDD505-2E9C-101B-9397-08002B2CF9AE}" pid="10" name="Sensitivity">
    <vt:lpwstr>OPS - Unclassified Information</vt:lpwstr>
  </property>
  <property fmtid="{D5CDD505-2E9C-101B-9397-08002B2CF9AE}" pid="11" name="ContentTypeId">
    <vt:lpwstr>0x01010043842F08D5C4194AB3AA6AD98986A4CA</vt:lpwstr>
  </property>
</Properties>
</file>