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ontariogov-my.sharepoint.com/personal/john_molenhuis_ontario_ca/Documents/Documents/Data/updatedbudgets/Program Files/Bear/BudgetFiles/Fruit/SmallFruit/2022/"/>
    </mc:Choice>
  </mc:AlternateContent>
  <xr:revisionPtr revIDLastSave="88" documentId="8_{94CD7DBD-F6F2-43C0-9AE5-266E5E954396}" xr6:coauthVersionLast="47" xr6:coauthVersionMax="47" xr10:uidLastSave="{72D3EB7B-7D75-46EF-A21B-771893575A77}"/>
  <bookViews>
    <workbookView xWindow="0" yWindow="0" windowWidth="10971" windowHeight="11743" xr2:uid="{00000000-000D-0000-FFFF-FFFF00000000}"/>
  </bookViews>
  <sheets>
    <sheet name="STRAW"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0" localSheetId="0">STRAW!$P$7776</definedName>
    <definedName name="\0">#REF!</definedName>
    <definedName name="\a" localSheetId="0">STRAW!$P$7909</definedName>
    <definedName name="\a">#REF!</definedName>
    <definedName name="\e" localSheetId="0">STRAW!$P$7933:$P$7944</definedName>
    <definedName name="\e">#REF!</definedName>
    <definedName name="\h" localSheetId="0">STRAW!$P$7843</definedName>
    <definedName name="\h">#REF!</definedName>
    <definedName name="\m" localSheetId="0">STRAW!$P$7865</definedName>
    <definedName name="\m">#REF!</definedName>
    <definedName name="\n" localSheetId="0">STRAW!$P$7858</definedName>
    <definedName name="\n">#REF!</definedName>
    <definedName name="\p" localSheetId="0">STRAW!$P$8052</definedName>
    <definedName name="\p">#REF!</definedName>
    <definedName name="\s" localSheetId="0">STRAW!$P$7850:$P$7855</definedName>
    <definedName name="\s">#REF!</definedName>
    <definedName name="\t" localSheetId="0">STRAW!$P$7918</definedName>
    <definedName name="\t">#REF!</definedName>
    <definedName name="\u" localSheetId="0">STRAW!$P$8050</definedName>
    <definedName name="\u">#REF!</definedName>
    <definedName name="\z" localSheetId="0">STRAW!$P$8108</definedName>
    <definedName name="\z">#REF!</definedName>
    <definedName name="_DUD7" localSheetId="0">STRAW!$AW$7807:$AW$7814</definedName>
    <definedName name="_DUD7">#REF!</definedName>
    <definedName name="_ENT1" localSheetId="0">STRAW!$P$7965</definedName>
    <definedName name="_ENT1">#REF!</definedName>
    <definedName name="_ENT2" localSheetId="0">STRAW!$P$7967</definedName>
    <definedName name="_ENT2">#REF!</definedName>
    <definedName name="_ENT3" localSheetId="0">STRAW!$P$7969</definedName>
    <definedName name="_ENT3">#REF!</definedName>
    <definedName name="_ENT4" localSheetId="0">STRAW!$P$7971</definedName>
    <definedName name="_ENT4">#REF!</definedName>
    <definedName name="_ENT5" localSheetId="0">STRAW!$P$7973</definedName>
    <definedName name="_ENT5">#REF!</definedName>
    <definedName name="_ENT6" localSheetId="0">STRAW!$P$7975</definedName>
    <definedName name="_ENT6">#REF!</definedName>
    <definedName name="_ENT7" localSheetId="0">STRAW!$P$7977</definedName>
    <definedName name="_ENT7">#REF!</definedName>
    <definedName name="_ENT8" localSheetId="0">STRAW!$P$7979</definedName>
    <definedName name="_ENT8">#REF!</definedName>
    <definedName name="_HAY1">#REF!</definedName>
    <definedName name="_Key1" localSheetId="0" hidden="1">STRAW!$HW$39:$HW$42</definedName>
    <definedName name="_Key1" hidden="1">#REF!</definedName>
    <definedName name="_Order1" hidden="1">255</definedName>
    <definedName name="_Parse_In" localSheetId="0" hidden="1">STRAW!$H$112:$H$113</definedName>
    <definedName name="_Parse_In" hidden="1">#REF!</definedName>
    <definedName name="_Parse_Out" localSheetId="0" hidden="1">STRAW!$H$115</definedName>
    <definedName name="_Parse_Out" hidden="1">#REF!</definedName>
    <definedName name="_Regression_Int" localSheetId="0" hidden="1">1</definedName>
    <definedName name="_Sort" localSheetId="0" hidden="1">STRAW!$HV$39:$IB$42</definedName>
    <definedName name="_Sort" hidden="1">#REF!</definedName>
    <definedName name="_Table2_In1" localSheetId="0" hidden="1">STRAW!$BA$49</definedName>
    <definedName name="_Table2_In1" hidden="1">#REF!</definedName>
    <definedName name="_Table2_In2" localSheetId="0" hidden="1">STRAW!$BA$50</definedName>
    <definedName name="_Table2_In2" hidden="1">#REF!</definedName>
    <definedName name="_Table2_Out" localSheetId="0" hidden="1">STRAW!$BB$15:$BJ$47</definedName>
    <definedName name="_Table2_Out" hidden="1">#REF!</definedName>
    <definedName name="_XB1" localSheetId="0">STRAW!$A$2:$K$160</definedName>
    <definedName name="_XB1">#REF!</definedName>
    <definedName name="_XB10" localSheetId="0">STRAW!$A$1624:$K$1922</definedName>
    <definedName name="_XB10">#REF!</definedName>
    <definedName name="_XB11" localSheetId="0">STRAW!$A$1924:$K$2223</definedName>
    <definedName name="_XB11">#REF!</definedName>
    <definedName name="_XB12" localSheetId="0">STRAW!$A$2225:$K$2524</definedName>
    <definedName name="_XB12">#REF!</definedName>
    <definedName name="_XB2" localSheetId="0">STRAW!$A$162:$K$320</definedName>
    <definedName name="_XB2">#REF!</definedName>
    <definedName name="_XB3" localSheetId="0">STRAW!$A$323:$K$480</definedName>
    <definedName name="_XB3">#REF!</definedName>
    <definedName name="_XB4" localSheetId="0">STRAW!$A$482:$K$640</definedName>
    <definedName name="_XB4">#REF!</definedName>
    <definedName name="_XB5" localSheetId="0">STRAW!$A$643:$K$800</definedName>
    <definedName name="_XB5">#REF!</definedName>
    <definedName name="_XB6" localSheetId="0">STRAW!$A$803:$K$960</definedName>
    <definedName name="_XB6">#REF!</definedName>
    <definedName name="_XB7" localSheetId="0">STRAW!$A$963:$K$1120</definedName>
    <definedName name="_XB7">#REF!</definedName>
    <definedName name="_XB8" localSheetId="0">STRAW!$A$1123:$K$1280</definedName>
    <definedName name="_XB8">#REF!</definedName>
    <definedName name="_XB9" localSheetId="0">STRAW!$A$1323:$K$1622</definedName>
    <definedName name="_XB9">#REF!</definedName>
    <definedName name="_XBC1" localSheetId="0">STRAW!$A$2</definedName>
    <definedName name="_XBC1">#REF!</definedName>
    <definedName name="_XBC10" localSheetId="0">STRAW!$A$1624:$K$1922</definedName>
    <definedName name="_XBC10">#REF!</definedName>
    <definedName name="_XBC11" localSheetId="0">STRAW!$A$1924</definedName>
    <definedName name="_XBC11">#REF!</definedName>
    <definedName name="_XBC12" localSheetId="0">STRAW!$A$2225</definedName>
    <definedName name="_XBC12">#REF!</definedName>
    <definedName name="_XBC2" localSheetId="0">STRAW!$A$162</definedName>
    <definedName name="_XBC2">#REF!</definedName>
    <definedName name="_XBC3" localSheetId="0">STRAW!$A$323</definedName>
    <definedName name="_XBC3">#REF!</definedName>
    <definedName name="_XBC4" localSheetId="0">STRAW!$A$482</definedName>
    <definedName name="_XBC4">#REF!</definedName>
    <definedName name="_XBC5" localSheetId="0">STRAW!$A$643</definedName>
    <definedName name="_XBC5">#REF!</definedName>
    <definedName name="_XBC6" localSheetId="0">STRAW!$A$803</definedName>
    <definedName name="_XBC6">#REF!</definedName>
    <definedName name="_XBC7" localSheetId="0">STRAW!$A$963</definedName>
    <definedName name="_XBC7">#REF!</definedName>
    <definedName name="_XBC8" localSheetId="0">STRAW!$A$1123</definedName>
    <definedName name="_XBC8">#REF!</definedName>
    <definedName name="_XBC9" localSheetId="0">STRAW!$A$1323</definedName>
    <definedName name="_XBC9">#REF!</definedName>
    <definedName name="ALLO" localSheetId="0">STRAW!$AP$7778:$AW$7789</definedName>
    <definedName name="ALLO">#REF!</definedName>
    <definedName name="ALLOAC" localSheetId="0">STRAW!$P$7949</definedName>
    <definedName name="ALLOAC">#REF!</definedName>
    <definedName name="ALLOAC2" localSheetId="0">STRAW!$P$7954</definedName>
    <definedName name="ALLOAC2">#REF!</definedName>
    <definedName name="ALLOAC3" localSheetId="0">STRAW!$P$7955</definedName>
    <definedName name="ALLOAC3">#REF!</definedName>
    <definedName name="ALLOAC4" localSheetId="0">STRAW!$P$7956</definedName>
    <definedName name="ALLOAC4">#REF!</definedName>
    <definedName name="ALLOAC5" localSheetId="0">STRAW!$P$7957</definedName>
    <definedName name="ALLOAC5">#REF!</definedName>
    <definedName name="ALLOAC6" localSheetId="0">STRAW!$P$7958</definedName>
    <definedName name="ALLOAC6">#REF!</definedName>
    <definedName name="ALLOAC7" localSheetId="0">STRAW!$P$7959</definedName>
    <definedName name="ALLOAC7">#REF!</definedName>
    <definedName name="ALLOAC8" localSheetId="0">STRAW!$P$7960</definedName>
    <definedName name="ALLOAC8">#REF!</definedName>
    <definedName name="ALLOACEND" localSheetId="0">STRAW!$P$7961</definedName>
    <definedName name="ALLOACEND">#REF!</definedName>
    <definedName name="ALLOALL" localSheetId="0">STRAW!$AP$7777:$AW$7789</definedName>
    <definedName name="ALLOALL">#REF!</definedName>
    <definedName name="ALLOENTER" localSheetId="0">STRAW!$AP$7779:$AW$7789</definedName>
    <definedName name="ALLOENTER">#REF!</definedName>
    <definedName name="ALLOREC" localSheetId="0">STRAW!$AO$7776</definedName>
    <definedName name="ALLOREC">#REF!</definedName>
    <definedName name="ALLOTOTAL" localSheetId="0">STRAW!$AP$7779:$AX$7791</definedName>
    <definedName name="ALLOTOTAL">#REF!</definedName>
    <definedName name="ALTERNATE" localSheetId="0">STRAW!$AC$7838</definedName>
    <definedName name="ALTERNATE">#REF!</definedName>
    <definedName name="AMARK" localSheetId="0">STRAW!$P$7908</definedName>
    <definedName name="AMARK">#REF!</definedName>
    <definedName name="ANALNAME" localSheetId="0">STRAW!$BU$7785</definedName>
    <definedName name="ANALNAME">#REF!</definedName>
    <definedName name="ASSIGN" localSheetId="0">STRAW!$ID$7793</definedName>
    <definedName name="ASSIGN">#REF!</definedName>
    <definedName name="BACK" localSheetId="0">STRAW!$P$8102</definedName>
    <definedName name="BACK">#REF!</definedName>
    <definedName name="BARLEY1">#REF!</definedName>
    <definedName name="BEARDRV" localSheetId="0">STRAW!$P$8014</definedName>
    <definedName name="BEARDRV">#REF!</definedName>
    <definedName name="BRINGIN" localSheetId="0">STRAW!$P$7790</definedName>
    <definedName name="BRINGIN">#REF!</definedName>
    <definedName name="BRINGINALL" localSheetId="0">STRAW!$P$7776:$P$7815</definedName>
    <definedName name="BRINGINALL">#REF!</definedName>
    <definedName name="CATTLE" localSheetId="0">STRAW!$AC$7807</definedName>
    <definedName name="CATTLE">#REF!</definedName>
    <definedName name="CHOICES" localSheetId="0">STRAW!$AC$7976</definedName>
    <definedName name="CHOICES">#REF!</definedName>
    <definedName name="COLE" localSheetId="0">STRAW!$AC$7922</definedName>
    <definedName name="COLE">#REF!</definedName>
    <definedName name="CORN1">[1]CORN!$A$1:$K$159</definedName>
    <definedName name="CORNER" localSheetId="0">STRAW!$P$7784</definedName>
    <definedName name="CORNER">#REF!</definedName>
    <definedName name="CORR">#N/A</definedName>
    <definedName name="COUNTER" localSheetId="0">STRAW!$P$7782</definedName>
    <definedName name="COUNTER">#REF!</definedName>
    <definedName name="COUNTER2" localSheetId="0">STRAW!$P$7817</definedName>
    <definedName name="COUNTER2">#REF!</definedName>
    <definedName name="CRIT" localSheetId="0">STRAW!$AS$7821:$AS$7822</definedName>
    <definedName name="CRIT">#REF!</definedName>
    <definedName name="_xlnm.Criteria" localSheetId="0">STRAW!$AT$47:$AT$48</definedName>
    <definedName name="_xlnm.Criteria">#REF!</definedName>
    <definedName name="Criteria_MI" localSheetId="0">STRAW!$AT$47:$AT$48</definedName>
    <definedName name="Criteria_MI">#REF!</definedName>
    <definedName name="CROPS" localSheetId="0">STRAW!$AC$7791</definedName>
    <definedName name="CROPS">#REF!</definedName>
    <definedName name="_xlnm.Database" localSheetId="0">STRAW!$AP$32:$BB$32</definedName>
    <definedName name="_xlnm.Database">#REF!</definedName>
    <definedName name="Database_MI" localSheetId="0">STRAW!$AP$32:$BB$32</definedName>
    <definedName name="Database_MI">#REF!</definedName>
    <definedName name="DCHECK" localSheetId="0">STRAW!$AC$8017:$AD$8021</definedName>
    <definedName name="DCHECK">#REF!</definedName>
    <definedName name="DCNT" localSheetId="0">STRAW!$P$7823</definedName>
    <definedName name="DCNT">#REF!</definedName>
    <definedName name="DEFAULT" localSheetId="0">STRAW!$P$7898</definedName>
    <definedName name="DEFAULT">#REF!</definedName>
    <definedName name="DEPT1" localSheetId="0">STRAW!$A$7936:$H$8003</definedName>
    <definedName name="DEPT1">#REF!</definedName>
    <definedName name="DGOAT1">[2]DGOAT!$A$1:$K$300</definedName>
    <definedName name="DHEIFER1">[3]DHEIFER!$A$1:$K$200</definedName>
    <definedName name="DRIVES" localSheetId="0">STRAW!$AC$8052:$AF$8058</definedName>
    <definedName name="DRIVES">#REF!</definedName>
    <definedName name="E_1" localSheetId="0">STRAW!$P$7935</definedName>
    <definedName name="E_1">#REF!</definedName>
    <definedName name="ECHECK" localSheetId="0">STRAW!$AC$8023:$AD$8027</definedName>
    <definedName name="ECHECK">#REF!</definedName>
    <definedName name="ENTERPRISE" localSheetId="0">STRAW!$P$7785</definedName>
    <definedName name="ENTERPRISE">#REF!</definedName>
    <definedName name="ENTNAME" localSheetId="0">STRAW!$P$7786</definedName>
    <definedName name="ENTNAME">#REF!</definedName>
    <definedName name="ENTNO" localSheetId="0">STRAW!$P$7787</definedName>
    <definedName name="ENTNO">#REF!</definedName>
    <definedName name="ENTS" localSheetId="0">STRAW!$AC$7783</definedName>
    <definedName name="ENTS">#REF!</definedName>
    <definedName name="ERASE" localSheetId="0">STRAW!$P$7873</definedName>
    <definedName name="ERASE">#REF!</definedName>
    <definedName name="ERRMSG" localSheetId="0">STRAW!$P$8171</definedName>
    <definedName name="ERRMSG">#REF!</definedName>
    <definedName name="ESCROUTE" localSheetId="0">STRAW!$P$8157</definedName>
    <definedName name="ESCROUTE">#REF!</definedName>
    <definedName name="EVERGREEN" localSheetId="0">STRAW!$AC$7952:$AE$7956</definedName>
    <definedName name="EVERGREEN">[4]turkey!$AC$6630:$AE$6634</definedName>
    <definedName name="EXCLUDE" localSheetId="0">STRAW!$ID$7911</definedName>
    <definedName name="EXCLUDE">#REF!</definedName>
    <definedName name="EXPORT" localSheetId="0">STRAW!$ID$7781</definedName>
    <definedName name="EXPORT">#REF!</definedName>
    <definedName name="FARM" localSheetId="0">STRAW!$AC$7986</definedName>
    <definedName name="FARM">#REF!</definedName>
    <definedName name="FARMNAME" localSheetId="0">STRAW!$BU$7782</definedName>
    <definedName name="FARMNAME">#REF!</definedName>
    <definedName name="FIELD" localSheetId="0">STRAW!$AO$7806:$BA$7814</definedName>
    <definedName name="FIELD">#REF!</definedName>
    <definedName name="FILE_EXT" localSheetId="0">STRAW!$P$7901</definedName>
    <definedName name="FILE_EXT">#REF!</definedName>
    <definedName name="FILE_PATH" localSheetId="0">STRAW!$P$7798</definedName>
    <definedName name="FILE_PATH">#REF!</definedName>
    <definedName name="FILEOPS" localSheetId="0">STRAW!$AC$7993:$AJ$7998</definedName>
    <definedName name="FILEOPS">#REF!</definedName>
    <definedName name="FNAME" localSheetId="0">STRAW!$P$8012</definedName>
    <definedName name="FNAME">#REF!</definedName>
    <definedName name="FORAGE" localSheetId="0">STRAW!$AC$7862</definedName>
    <definedName name="FORAGE">#REF!</definedName>
    <definedName name="FORMAT" localSheetId="0">STRAW!$AC$8066</definedName>
    <definedName name="FORMAT">#REF!</definedName>
    <definedName name="FRUIT" localSheetId="0">STRAW!$AC$7877</definedName>
    <definedName name="FRUIT">#REF!</definedName>
    <definedName name="GAFFE10" localSheetId="0">STRAW!$P$8094</definedName>
    <definedName name="GAFFE10">#REF!</definedName>
    <definedName name="GAFFE2" localSheetId="0">STRAW!$P$8055</definedName>
    <definedName name="GAFFE2">#REF!</definedName>
    <definedName name="GAFFE3" localSheetId="0">STRAW!$P$8060</definedName>
    <definedName name="GAFFE3">#REF!</definedName>
    <definedName name="GAFFE4" localSheetId="0">STRAW!$P$8066</definedName>
    <definedName name="GAFFE4">#REF!</definedName>
    <definedName name="GAFFE5" localSheetId="0">STRAW!$P$8070</definedName>
    <definedName name="GAFFE5">#REF!</definedName>
    <definedName name="GAFFE6" localSheetId="0">STRAW!$P$8074</definedName>
    <definedName name="GAFFE6">#REF!</definedName>
    <definedName name="GAFFE7" localSheetId="0">STRAW!$P$8078</definedName>
    <definedName name="GAFFE7">#REF!</definedName>
    <definedName name="GAFFE8" localSheetId="0">STRAW!$P$8086</definedName>
    <definedName name="GAFFE8">#REF!</definedName>
    <definedName name="GAFFE9" localSheetId="0">STRAW!$P$8090</definedName>
    <definedName name="GAFFE9">#REF!</definedName>
    <definedName name="GFRUIT" localSheetId="0">STRAW!$AC$7901</definedName>
    <definedName name="GFRUIT">#REF!</definedName>
    <definedName name="GOATS" localSheetId="0">STRAW!$AC$7825</definedName>
    <definedName name="GOATS">#REF!</definedName>
    <definedName name="GRAIN" localSheetId="0">STRAW!$AC$7844</definedName>
    <definedName name="GRAIN">#REF!</definedName>
    <definedName name="GRAPES" localSheetId="0">STRAW!$AC$7915:$AG$7919</definedName>
    <definedName name="GRAPES">[4]turkey!$AC$6593:$AG$6597</definedName>
    <definedName name="HELP" localSheetId="0">STRAW!$BH$7776:$BO$7795</definedName>
    <definedName name="HELP">#REF!</definedName>
    <definedName name="HORT" localSheetId="0">STRAW!$AC$7868</definedName>
    <definedName name="HORT">#REF!</definedName>
    <definedName name="ID" localSheetId="0">STRAW!$AP$7777:$AW$7778</definedName>
    <definedName name="ID">#REF!</definedName>
    <definedName name="IFF" localSheetId="0">STRAW!$P$7792</definedName>
    <definedName name="IFF">#REF!</definedName>
    <definedName name="INPUT" localSheetId="0">STRAW!$P$7783</definedName>
    <definedName name="INPUT">#REF!</definedName>
    <definedName name="JUNK" localSheetId="0">STRAW!$P$8013</definedName>
    <definedName name="JUNK">#REF!</definedName>
    <definedName name="KEY" localSheetId="0">STRAW!$P$8110</definedName>
    <definedName name="KEY">#REF!</definedName>
    <definedName name="KEYLIST" localSheetId="0">STRAW!$P$8112:$P$8124</definedName>
    <definedName name="KEYLIST">#REF!</definedName>
    <definedName name="LASTCELL" localSheetId="0">STRAW!$P$7946</definedName>
    <definedName name="LASTCELL">#REF!</definedName>
    <definedName name="LAYER1">[5]LAYER!$A$1:$K$300</definedName>
    <definedName name="LCNT" localSheetId="0">STRAW!$P$7824</definedName>
    <definedName name="LCNT">#REF!</definedName>
    <definedName name="LCOUNT" localSheetId="0">STRAW!$P$7780</definedName>
    <definedName name="LCOUNT">#REF!</definedName>
    <definedName name="LINE" localSheetId="0">STRAW!$AO$7825:$BA$7825</definedName>
    <definedName name="LINE">#REF!</definedName>
    <definedName name="LININ" localSheetId="0">STRAW!$AO$7814:$BA$7814</definedName>
    <definedName name="LININ">#REF!</definedName>
    <definedName name="LIVESTOCK" localSheetId="0">STRAW!$AC$7799</definedName>
    <definedName name="LIVESTOCK">#REF!</definedName>
    <definedName name="LOAN1" localSheetId="0">STRAW!$A$8096:$H$8156</definedName>
    <definedName name="LOAN1">#REF!</definedName>
    <definedName name="LOGO" localSheetId="0">STRAW!$AZ$7776:$BG$7795</definedName>
    <definedName name="LOGO">#REF!</definedName>
    <definedName name="MACROBLOCK" localSheetId="0">STRAW!$P$7776:$P$8171</definedName>
    <definedName name="MACROBLOCK">#REF!</definedName>
    <definedName name="MARKER1" localSheetId="0">STRAW!$P$7930</definedName>
    <definedName name="MARKER1">#REF!</definedName>
    <definedName name="MENUBLOCK" localSheetId="0">STRAW!$AC$7776:$AJ$8076</definedName>
    <definedName name="MENUBLOCK">#REF!</definedName>
    <definedName name="MESSAGE" localSheetId="0">STRAW!$P$8168</definedName>
    <definedName name="MESSAGE">#REF!</definedName>
    <definedName name="MGOAT1">#REF!</definedName>
    <definedName name="NAME" localSheetId="0">STRAW!$BP$7776:$BW$7795</definedName>
    <definedName name="NAME">#REF!</definedName>
    <definedName name="NO" localSheetId="0">STRAW!$P$7818</definedName>
    <definedName name="NO">#REF!</definedName>
    <definedName name="NOREC" localSheetId="0">STRAW!$AC$7777:$AJ$7777</definedName>
    <definedName name="NOREC">#REF!</definedName>
    <definedName name="NUMBER" localSheetId="0">STRAW!$P$7819</definedName>
    <definedName name="NUMBER">#REF!</definedName>
    <definedName name="NUR" localSheetId="0">STRAW!$AC$7886:$AG$7893</definedName>
    <definedName name="NUR">[4]turkey!$AC$6564:$AG$6571</definedName>
    <definedName name="OATS1">#REF!</definedName>
    <definedName name="OILS" localSheetId="0">STRAW!$AC$7850</definedName>
    <definedName name="OILS">#REF!</definedName>
    <definedName name="OTHER" localSheetId="0">STRAW!$AC$7946</definedName>
    <definedName name="OTHER">#REF!</definedName>
    <definedName name="OTHERLVSTK" localSheetId="0">STRAW!$AC$7970:$AD$7974</definedName>
    <definedName name="OTHERLVSTK">#REF!</definedName>
    <definedName name="OTHERVEG" localSheetId="0">STRAW!$AC$7934</definedName>
    <definedName name="OTHERVEG">#REF!</definedName>
    <definedName name="OTHRFRT" localSheetId="0">STRAW!$AC$7907</definedName>
    <definedName name="OTHRFRT">#REF!</definedName>
    <definedName name="P_ALLO" localSheetId="0">STRAW!$AO$7776:$AX$7795</definedName>
    <definedName name="P_ALLO">#REF!</definedName>
    <definedName name="P_DEP_N" localSheetId="0">STRAW!$A$7936:$H$7962</definedName>
    <definedName name="P_DEP_N">#REF!</definedName>
    <definedName name="P_LOANS" localSheetId="0">STRAW!$A$8096:$H$8134</definedName>
    <definedName name="P_LOANS">#REF!</definedName>
    <definedName name="P_RANGE" localSheetId="0">STRAW!$P$7788</definedName>
    <definedName name="P_RANGE">#REF!</definedName>
    <definedName name="P_TRANS" localSheetId="0">STRAW!$CN$7776:$CU$7788</definedName>
    <definedName name="P_TRANS">#REF!</definedName>
    <definedName name="P_WFC" localSheetId="0">STRAW!$A$7776:$H$7827</definedName>
    <definedName name="P_WFC">#REF!</definedName>
    <definedName name="P_WFS" localSheetId="0">STRAW!$A$7864:$H$7921</definedName>
    <definedName name="P_WFS">#REF!</definedName>
    <definedName name="PASSWORD" localSheetId="0">STRAW!$P$7789</definedName>
    <definedName name="PASSWORD">#REF!</definedName>
    <definedName name="PASTUR1">#REF!</definedName>
    <definedName name="PCHECK" localSheetId="0">STRAW!$AC$8029:$AD$8033</definedName>
    <definedName name="PCHECK">#REF!</definedName>
    <definedName name="PEABEAN" localSheetId="0">STRAW!$AC$7940</definedName>
    <definedName name="PEABEAN">#REF!</definedName>
    <definedName name="PERCENT" localSheetId="0">STRAW!$P$7947</definedName>
    <definedName name="PERCENT">#REF!</definedName>
    <definedName name="PIGS" localSheetId="0">STRAW!$AC$7813</definedName>
    <definedName name="PIGS">#REF!</definedName>
    <definedName name="POULTRY" localSheetId="0">STRAW!$AC$7831</definedName>
    <definedName name="POULTRY">#REF!</definedName>
    <definedName name="PREPARE" localSheetId="0">STRAW!$ID$7893</definedName>
    <definedName name="PREPARE">#REF!</definedName>
    <definedName name="PREPDATE" localSheetId="0">STRAW!$BU$7784</definedName>
    <definedName name="PREPDATE">#REF!</definedName>
    <definedName name="PRINT" localSheetId="0">STRAW!$P$8017:$P$8027</definedName>
    <definedName name="PRINT">#REF!</definedName>
    <definedName name="_xlnm.Print_Area" localSheetId="0">STRAW!$B$420:$I$530</definedName>
    <definedName name="_xlnm.Print_Area">#REF!</definedName>
    <definedName name="Print_Area_MI" localSheetId="0">STRAW!$B$420:$I$530</definedName>
    <definedName name="PRINT_AREA_MI">#REF!</definedName>
    <definedName name="PRINTALL" localSheetId="0">STRAW!$P$8029:$P$8043</definedName>
    <definedName name="PRINTALL">#REF!</definedName>
    <definedName name="PRINTENT" localSheetId="0">STRAW!$P$8045:$P$8048</definedName>
    <definedName name="PRINTENT">#REF!</definedName>
    <definedName name="PRINTMENU" localSheetId="0">STRAW!$AC$8035</definedName>
    <definedName name="PRINTMENU">#REF!</definedName>
    <definedName name="PRTCHOICE" localSheetId="0">STRAW!$AC$8045</definedName>
    <definedName name="PRTCHOICE">#REF!</definedName>
    <definedName name="PULLET1">[6]PULLET!$A$1:$K$300</definedName>
    <definedName name="PULSES" localSheetId="0">STRAW!$AC$7856</definedName>
    <definedName name="PULSES">#REF!</definedName>
    <definedName name="QCHOICE" localSheetId="0">STRAW!$AC$8060:$AE$8064</definedName>
    <definedName name="QCHOICE">#REF!</definedName>
    <definedName name="RASPC1">[7]RASPP!$A$162:$K$319</definedName>
    <definedName name="RASPP1">[7]RASPP!$A$1:$K$159</definedName>
    <definedName name="RECORD" localSheetId="0">STRAW!$AC$7778:$AJ$7778</definedName>
    <definedName name="RECORD">#REF!</definedName>
    <definedName name="RET" localSheetId="0">STRAW!$P$7927:$P$7931</definedName>
    <definedName name="RET">#REF!</definedName>
    <definedName name="ROOT" localSheetId="0">STRAW!$AC$7928</definedName>
    <definedName name="ROOT">#REF!</definedName>
    <definedName name="SAVE" localSheetId="0">STRAW!$P$7982</definedName>
    <definedName name="SAVE">#REF!</definedName>
    <definedName name="SAVE1" localSheetId="0">STRAW!$P$7983</definedName>
    <definedName name="SAVE1">#REF!</definedName>
    <definedName name="SAVE2" localSheetId="0">STRAW!$P$7985</definedName>
    <definedName name="SAVE2">#REF!</definedName>
    <definedName name="SCANOL1">[8]SCANOL!$A$1:$K$159</definedName>
    <definedName name="SCHOICE" localSheetId="0">STRAW!$AC$8009:$AE$8011</definedName>
    <definedName name="SCHOICE">#REF!</definedName>
    <definedName name="SELECT" localSheetId="0">STRAW!$P$8147</definedName>
    <definedName name="SELECT">#REF!</definedName>
    <definedName name="SELECTERR" localSheetId="0">STRAW!$P$8129</definedName>
    <definedName name="SELECTERR">#REF!</definedName>
    <definedName name="SELECTMSG" localSheetId="0">STRAW!$P$8126</definedName>
    <definedName name="SELECTMSG">#REF!</definedName>
    <definedName name="SEND" localSheetId="0">STRAW!$O$8035:$Z$8043</definedName>
    <definedName name="SEND">#REF!</definedName>
    <definedName name="SEND2" localSheetId="0">STRAW!$ID$7841:$ID$7888</definedName>
    <definedName name="SEND2">#REF!</definedName>
    <definedName name="SHADE" localSheetId="0">STRAW!$AC$7958:$AD$7962</definedName>
    <definedName name="SHADE">[4]turkey!$AC$6636:$AD$6640</definedName>
    <definedName name="SHEEP" localSheetId="0">STRAW!$AC$7819</definedName>
    <definedName name="SHEEP">#REF!</definedName>
    <definedName name="SHORTK1">[9]SHORTK!$A$1:$K$200</definedName>
    <definedName name="SHRUB" localSheetId="0">STRAW!$AC$7964:$AD$7968</definedName>
    <definedName name="SHRUB">[4]turkey!$AC$6642:$AD$6646</definedName>
    <definedName name="SILAGE1">[10]SILAGE!$A$1:$K$159</definedName>
    <definedName name="SOYB1">[11]SOYB!$A$1:$K$159</definedName>
    <definedName name="STRAWC1">STRAW!$A$2:$K$160</definedName>
    <definedName name="STYPE" localSheetId="0">STRAW!$AC$8000</definedName>
    <definedName name="STYPE">#REF!</definedName>
    <definedName name="SUBR" localSheetId="0">STRAW!$P$7826</definedName>
    <definedName name="SUBR">#REF!</definedName>
    <definedName name="SWHEAT1">#REF!</definedName>
    <definedName name="TCOUNT" localSheetId="0">STRAW!$P$7781</definedName>
    <definedName name="TCOUNT">#REF!</definedName>
    <definedName name="TFRUIT" localSheetId="0">STRAW!$AC$7895</definedName>
    <definedName name="TFRUIT">#REF!</definedName>
    <definedName name="TIMES" localSheetId="0">STRAW!$ID$7908</definedName>
    <definedName name="TIMES">#REF!</definedName>
    <definedName name="TMARK" localSheetId="0">STRAW!$P$7907</definedName>
    <definedName name="TMARK">#REF!</definedName>
    <definedName name="TO_CELL" localSheetId="0">STRAW!$P$7962</definedName>
    <definedName name="TO_CELL">#REF!</definedName>
    <definedName name="TRANS" localSheetId="0">STRAW!$CN$7776:$CU$7788</definedName>
    <definedName name="TRANS">#REF!</definedName>
    <definedName name="TRANSF" localSheetId="0">STRAW!$CP$7777:$CS$7788</definedName>
    <definedName name="TRANSF">#REF!</definedName>
    <definedName name="TREC" localSheetId="0">STRAW!$AC$7777:$AJ$7778</definedName>
    <definedName name="TREC">#REF!</definedName>
    <definedName name="TURKEY1">[4]turkey!$A$1:$K$300</definedName>
    <definedName name="UPDATE" localSheetId="0">STRAW!$P$7837</definedName>
    <definedName name="UPDATE">#REF!</definedName>
    <definedName name="VEAL1">#REF!</definedName>
    <definedName name="VEG" localSheetId="0">STRAW!$AC$7868</definedName>
    <definedName name="VEG">#REF!</definedName>
    <definedName name="VINE">#REF!</definedName>
    <definedName name="WFARMC" localSheetId="0">STRAW!$A$7776</definedName>
    <definedName name="WFARMC">#REF!</definedName>
    <definedName name="WFARMS" localSheetId="0">STRAW!$A$7864</definedName>
    <definedName name="WFARMS">#REF!</definedName>
    <definedName name="WMARK" localSheetId="0">STRAW!$P$7908</definedName>
    <definedName name="WMARK">#REF!</definedName>
    <definedName name="WORKDRV" localSheetId="0">STRAW!$P$8015</definedName>
    <definedName name="WORKDRV">#REF!</definedName>
    <definedName name="WORKNOS" localSheetId="0">STRAW!$AO$7807:$AO$7814</definedName>
    <definedName name="WORKNOS">#REF!</definedName>
    <definedName name="WORKNUMS" localSheetId="0">STRAW!$AQ$7807:$BA$7814</definedName>
    <definedName name="WORKNUMS">#REF!</definedName>
    <definedName name="WORKON" localSheetId="0">STRAW!$AO$7807:$BA$7814</definedName>
    <definedName name="WORKON">#REF!</definedName>
    <definedName name="WWHEAT1">#REF!</definedName>
    <definedName name="XCHOICE" localSheetId="0">STRAW!$AC$8013:$AE$8015</definedName>
    <definedName name="XCHOICE">#REF!</definedName>
    <definedName name="XDATA" localSheetId="0">STRAW!$IL$7793:$IL$7891</definedName>
    <definedName name="XDATA">#REF!</definedName>
    <definedName name="XNAME" localSheetId="0">STRAW!$P$8011</definedName>
    <definedName name="XNAME">#REF!</definedName>
    <definedName name="XSAVE" localSheetId="0">STRAW!$P$7996</definedName>
    <definedName name="XSAVE">#REF!</definedName>
    <definedName name="XSAVE1" localSheetId="0">STRAW!$P$7997</definedName>
    <definedName name="XSAVE1">#REF!</definedName>
    <definedName name="XSAVE2" localSheetId="0">STRAW!$P$7999</definedName>
    <definedName name="XSAVE2">#REF!</definedName>
    <definedName name="YES" localSheetId="0">STRAW!$P$7821</definedName>
    <definedName name="Y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55" i="1" l="1"/>
  <c r="AA130" i="1"/>
  <c r="AA120" i="1" l="1"/>
  <c r="A66" i="1"/>
  <c r="AA3" i="1" l="1"/>
  <c r="C9" i="1" s="1"/>
  <c r="AA4" i="1"/>
  <c r="E9" i="1" s="1"/>
  <c r="AA5" i="1"/>
  <c r="G9" i="1" s="1"/>
  <c r="AA6" i="1"/>
  <c r="D14" i="1" s="1"/>
  <c r="AA15" i="1"/>
  <c r="K20" i="1" s="1"/>
  <c r="AA16" i="1"/>
  <c r="K21" i="1" s="1"/>
  <c r="AA17" i="1"/>
  <c r="G67" i="1" s="1"/>
  <c r="AA18" i="1" s="1"/>
  <c r="H67" i="1" s="1"/>
  <c r="AA19" i="1"/>
  <c r="K23" i="1" s="1"/>
  <c r="AA20" i="1"/>
  <c r="AA23" i="1"/>
  <c r="AA24" i="1" s="1"/>
  <c r="G24" i="1" s="1"/>
  <c r="AA25" i="1" s="1"/>
  <c r="H24" i="1" s="1"/>
  <c r="AA21" i="1"/>
  <c r="G23" i="1" s="1"/>
  <c r="AA22" i="1" s="1"/>
  <c r="H23" i="1" s="1"/>
  <c r="AA27" i="1"/>
  <c r="G25" i="1" s="1"/>
  <c r="AA28" i="1" s="1"/>
  <c r="H25" i="1" s="1"/>
  <c r="AA30" i="1"/>
  <c r="G26" i="1" s="1"/>
  <c r="AA31" i="1" s="1"/>
  <c r="H26" i="1" s="1"/>
  <c r="AA34" i="1"/>
  <c r="G28" i="1" s="1"/>
  <c r="AA35" i="1" s="1"/>
  <c r="H28" i="1" s="1"/>
  <c r="AA37" i="1"/>
  <c r="G29" i="1" s="1"/>
  <c r="AA38" i="1" s="1"/>
  <c r="H29" i="1" s="1"/>
  <c r="AA39" i="1"/>
  <c r="G31" i="1" s="1"/>
  <c r="AA40" i="1" s="1"/>
  <c r="H31" i="1" s="1"/>
  <c r="AA41" i="1"/>
  <c r="G32" i="1" s="1"/>
  <c r="AA42" i="1" s="1"/>
  <c r="H32" i="1" s="1"/>
  <c r="AA45" i="1"/>
  <c r="G34" i="1" s="1"/>
  <c r="AA46" i="1" s="1"/>
  <c r="H34" i="1" s="1"/>
  <c r="AA48" i="1"/>
  <c r="G35" i="1" s="1"/>
  <c r="AA49" i="1" s="1"/>
  <c r="H35" i="1" s="1"/>
  <c r="AA50" i="1"/>
  <c r="G36" i="1" s="1"/>
  <c r="AA51" i="1" s="1"/>
  <c r="H36" i="1" s="1"/>
  <c r="AA52" i="1"/>
  <c r="G38" i="1" s="1"/>
  <c r="AA53" i="1" s="1"/>
  <c r="H38" i="1" s="1"/>
  <c r="AA54" i="1"/>
  <c r="G39" i="1" s="1"/>
  <c r="AA55" i="1" s="1"/>
  <c r="H39" i="1" s="1"/>
  <c r="G55" i="1"/>
  <c r="AA76" i="1" s="1"/>
  <c r="H55" i="1" s="1"/>
  <c r="AA56" i="1"/>
  <c r="G40" i="1" s="1"/>
  <c r="AA57" i="1" s="1"/>
  <c r="H40" i="1" s="1"/>
  <c r="AA58" i="1"/>
  <c r="G41" i="1" s="1"/>
  <c r="AA59" i="1" s="1"/>
  <c r="H41" i="1" s="1"/>
  <c r="AA60" i="1"/>
  <c r="G42" i="1" s="1"/>
  <c r="AA61" i="1" s="1"/>
  <c r="H42" i="1" s="1"/>
  <c r="AA62" i="1"/>
  <c r="G43" i="1" s="1"/>
  <c r="AA63" i="1" s="1"/>
  <c r="H43" i="1" s="1"/>
  <c r="AA64" i="1"/>
  <c r="G45" i="1" s="1"/>
  <c r="AA65" i="1" s="1"/>
  <c r="H45" i="1" s="1"/>
  <c r="AA66" i="1"/>
  <c r="G46" i="1" s="1"/>
  <c r="AA67" i="1" s="1"/>
  <c r="H46" i="1" s="1"/>
  <c r="AA68" i="1"/>
  <c r="G47" i="1" s="1"/>
  <c r="AA69" i="1" s="1"/>
  <c r="H47" i="1" s="1"/>
  <c r="AA70" i="1"/>
  <c r="G48" i="1" s="1"/>
  <c r="AA71" i="1" s="1"/>
  <c r="H48" i="1" s="1"/>
  <c r="AA73" i="1"/>
  <c r="G54" i="1" s="1"/>
  <c r="AA74" i="1" s="1"/>
  <c r="H54" i="1" s="1"/>
  <c r="AA75" i="1"/>
  <c r="AA77" i="1"/>
  <c r="G56" i="1" s="1"/>
  <c r="AA78" i="1" s="1"/>
  <c r="H56" i="1" s="1"/>
  <c r="AA79" i="1"/>
  <c r="G57" i="1" s="1"/>
  <c r="AA80" i="1" s="1"/>
  <c r="H57" i="1" s="1"/>
  <c r="AA85" i="1"/>
  <c r="AA86" i="1"/>
  <c r="G68" i="1" s="1"/>
  <c r="AA87" i="1" s="1"/>
  <c r="H68" i="1" s="1"/>
  <c r="AA88" i="1"/>
  <c r="G69" i="1" s="1"/>
  <c r="AA89" i="1" s="1"/>
  <c r="H69" i="1" s="1"/>
  <c r="AA90" i="1"/>
  <c r="G71" i="1" s="1"/>
  <c r="AA91" i="1" s="1"/>
  <c r="H71" i="1" s="1"/>
  <c r="AA92" i="1"/>
  <c r="G72" i="1" s="1"/>
  <c r="AA93" i="1" s="1"/>
  <c r="H72" i="1" s="1"/>
  <c r="AA94" i="1"/>
  <c r="G73" i="1" s="1"/>
  <c r="AA95" i="1" s="1"/>
  <c r="H73" i="1" s="1"/>
  <c r="AA96" i="1"/>
  <c r="G74" i="1" s="1"/>
  <c r="AA97" i="1" s="1"/>
  <c r="H74" i="1" s="1"/>
  <c r="AA98" i="1"/>
  <c r="G75" i="1" s="1"/>
  <c r="AA99" i="1" s="1"/>
  <c r="H75" i="1" s="1"/>
  <c r="AA100" i="1"/>
  <c r="G76" i="1" s="1"/>
  <c r="AA101" i="1" s="1"/>
  <c r="H76" i="1" s="1"/>
  <c r="AA102" i="1"/>
  <c r="G80" i="1" s="1"/>
  <c r="AA103" i="1" s="1"/>
  <c r="H80" i="1" s="1"/>
  <c r="AA104" i="1"/>
  <c r="G81" i="1" s="1"/>
  <c r="AA105" i="1" s="1"/>
  <c r="H81" i="1" s="1"/>
  <c r="AA106" i="1"/>
  <c r="G83" i="1" s="1"/>
  <c r="AA107" i="1" s="1"/>
  <c r="H83" i="1" s="1"/>
  <c r="AA108" i="1"/>
  <c r="G84" i="1" s="1"/>
  <c r="AA109" i="1" s="1"/>
  <c r="H84" i="1" s="1"/>
  <c r="AA110" i="1"/>
  <c r="G86" i="1" s="1"/>
  <c r="AA111" i="1" s="1"/>
  <c r="H86" i="1" s="1"/>
  <c r="AA112" i="1"/>
  <c r="G87" i="1" s="1"/>
  <c r="AA113" i="1" s="1"/>
  <c r="H87" i="1" s="1"/>
  <c r="AA114" i="1"/>
  <c r="G89" i="1" s="1"/>
  <c r="AA115" i="1" s="1"/>
  <c r="H89" i="1" s="1"/>
  <c r="AA116" i="1"/>
  <c r="G90" i="1" s="1"/>
  <c r="AA117" i="1" s="1"/>
  <c r="H90" i="1" s="1"/>
  <c r="AA118" i="1"/>
  <c r="G93" i="1" s="1"/>
  <c r="AA119" i="1" s="1"/>
  <c r="H93" i="1" s="1"/>
  <c r="E94" i="1"/>
  <c r="AA121" i="1"/>
  <c r="F94" i="1" s="1"/>
  <c r="AA124" i="1"/>
  <c r="G95" i="1" s="1"/>
  <c r="AA125" i="1" s="1"/>
  <c r="H95" i="1" s="1"/>
  <c r="AA33" i="1" s="1"/>
  <c r="K28" i="1" s="1"/>
  <c r="AA126" i="1"/>
  <c r="G96" i="1" s="1"/>
  <c r="AA127" i="1" s="1"/>
  <c r="H96" i="1" s="1"/>
  <c r="AA128" i="1"/>
  <c r="G97" i="1" s="1"/>
  <c r="AA129" i="1" s="1"/>
  <c r="H97" i="1" s="1"/>
  <c r="AA132" i="1"/>
  <c r="AA133" i="1" s="1"/>
  <c r="G100" i="1" s="1"/>
  <c r="AA134" i="1" s="1"/>
  <c r="H100" i="1" s="1"/>
  <c r="AA135" i="1"/>
  <c r="E104" i="1" s="1"/>
  <c r="AA137" i="1" s="1"/>
  <c r="H104" i="1" s="1"/>
  <c r="AA138" i="1"/>
  <c r="E105" i="1" s="1"/>
  <c r="AA140" i="1" s="1"/>
  <c r="H105" i="1" s="1"/>
  <c r="AA139" i="1" s="1"/>
  <c r="G105" i="1" s="1"/>
  <c r="AA141" i="1"/>
  <c r="E106" i="1" s="1"/>
  <c r="AA143" i="1" s="1"/>
  <c r="H106" i="1" s="1"/>
  <c r="AA142" i="1" s="1"/>
  <c r="G106" i="1" s="1"/>
  <c r="AA144" i="1"/>
  <c r="E107" i="1" s="1"/>
  <c r="AA146" i="1" s="1"/>
  <c r="H107" i="1" s="1"/>
  <c r="AA145" i="1" s="1"/>
  <c r="G107" i="1" s="1"/>
  <c r="AA147" i="1"/>
  <c r="E108" i="1" s="1"/>
  <c r="AA149" i="1" s="1"/>
  <c r="H108" i="1" s="1"/>
  <c r="AA148" i="1" s="1"/>
  <c r="G108" i="1" s="1"/>
  <c r="AA150" i="1"/>
  <c r="E110" i="1" s="1"/>
  <c r="E115" i="1"/>
  <c r="AA157" i="1" s="1"/>
  <c r="H115" i="1" s="1"/>
  <c r="AA158" i="1"/>
  <c r="E116" i="1" s="1"/>
  <c r="AA160" i="1" s="1"/>
  <c r="H116" i="1" s="1"/>
  <c r="AA159" i="1" s="1"/>
  <c r="G116" i="1" s="1"/>
  <c r="AA161" i="1"/>
  <c r="E117" i="1" s="1"/>
  <c r="AA163" i="1" s="1"/>
  <c r="H117" i="1" s="1"/>
  <c r="AA162" i="1" s="1"/>
  <c r="G117" i="1" s="1"/>
  <c r="AA164" i="1"/>
  <c r="E118" i="1" s="1"/>
  <c r="AA166" i="1" s="1"/>
  <c r="H118" i="1" s="1"/>
  <c r="AA165" i="1" s="1"/>
  <c r="G118" i="1" s="1"/>
  <c r="AA170" i="1"/>
  <c r="E123" i="1" s="1"/>
  <c r="AA171" i="1" s="1"/>
  <c r="F123" i="1" s="1"/>
  <c r="AA13" i="1" s="1"/>
  <c r="K18" i="1" s="1"/>
  <c r="AA195" i="1"/>
  <c r="I148" i="1" s="1"/>
  <c r="AA136" i="1" l="1"/>
  <c r="G104" i="1" s="1"/>
  <c r="AA122" i="1"/>
  <c r="G94" i="1" s="1"/>
  <c r="AA123" i="1" s="1"/>
  <c r="H94" i="1" s="1"/>
  <c r="AA44" i="1" s="1"/>
  <c r="K34" i="1" s="1"/>
  <c r="AA47" i="1" s="1"/>
  <c r="K35" i="1" s="1"/>
  <c r="AA29" i="1"/>
  <c r="K26" i="1" s="1"/>
  <c r="AA26" i="1"/>
  <c r="K25" i="1" s="1"/>
  <c r="AA43" i="1"/>
  <c r="K33" i="1" s="1"/>
  <c r="AA11" i="1" s="1"/>
  <c r="D17" i="1" s="1"/>
  <c r="AA72" i="1"/>
  <c r="H51" i="1" s="1"/>
  <c r="AA81" i="1"/>
  <c r="H59" i="1" s="1"/>
  <c r="AA156" i="1"/>
  <c r="G115" i="1" s="1"/>
  <c r="AA168" i="1"/>
  <c r="H120" i="1" s="1"/>
  <c r="G99" i="1"/>
  <c r="AA131" i="1" s="1"/>
  <c r="H99" i="1" s="1"/>
  <c r="AA36" i="1" s="1"/>
  <c r="K29" i="1" s="1"/>
  <c r="AA193" i="1"/>
  <c r="I147" i="1" s="1"/>
  <c r="AA196" i="1" s="1"/>
  <c r="I149" i="1" s="1"/>
  <c r="AA169" i="1" l="1"/>
  <c r="J120" i="1" s="1"/>
  <c r="AA152" i="1" s="1"/>
  <c r="H110" i="1" s="1"/>
  <c r="AA14" i="1"/>
  <c r="K19" i="1" s="1"/>
  <c r="AA187" i="1"/>
  <c r="AA82" i="1"/>
  <c r="AA9" i="1"/>
  <c r="D16" i="1" s="1"/>
  <c r="AA172" i="1" s="1"/>
  <c r="AA173" i="1" s="1"/>
  <c r="AA8" i="1" s="1"/>
  <c r="K15" i="1" s="1"/>
  <c r="AA7" i="1"/>
  <c r="D15" i="1" s="1"/>
  <c r="AA167" i="1"/>
  <c r="G120" i="1" s="1"/>
  <c r="AA179" i="1"/>
  <c r="F128" i="1" s="1"/>
  <c r="AA178" i="1" s="1"/>
  <c r="E128" i="1" s="1"/>
  <c r="AA183" i="1" s="1"/>
  <c r="G133" i="1" s="1"/>
  <c r="AA12" i="1"/>
  <c r="K17" i="1" s="1"/>
  <c r="H61" i="1" l="1"/>
  <c r="AA84" i="1" s="1"/>
  <c r="H65" i="1" s="1"/>
  <c r="G139" i="1"/>
  <c r="H139" i="1" s="1"/>
  <c r="AA151" i="1"/>
  <c r="G110" i="1" s="1"/>
  <c r="AA83" i="1" l="1"/>
  <c r="G65" i="1" s="1"/>
  <c r="AA154" i="1"/>
  <c r="H112" i="1" s="1"/>
  <c r="AA153" i="1" s="1"/>
  <c r="G112" i="1" s="1"/>
  <c r="AA32" i="1"/>
  <c r="K27" i="1" s="1"/>
  <c r="AA10" i="1" l="1"/>
  <c r="K16" i="1" s="1"/>
  <c r="AA175" i="1"/>
  <c r="F125" i="1" s="1"/>
  <c r="AA177" i="1" s="1"/>
  <c r="F127" i="1" s="1"/>
  <c r="AA174" i="1" l="1"/>
  <c r="E125" i="1" s="1"/>
  <c r="AA182" i="1" s="1"/>
  <c r="G132" i="1" s="1"/>
  <c r="AA184" i="1" s="1"/>
  <c r="G135" i="1" s="1"/>
  <c r="AA176" i="1"/>
  <c r="E127" i="1" s="1"/>
  <c r="AA180" i="1" s="1"/>
  <c r="E130" i="1" s="1"/>
  <c r="AA181" i="1"/>
  <c r="F130" i="1" s="1"/>
  <c r="AA2" i="1" l="1"/>
  <c r="H3" i="1" s="1"/>
  <c r="AA191" i="1"/>
  <c r="I146" i="1" s="1"/>
  <c r="AA192" i="1" l="1"/>
  <c r="C147" i="1" s="1"/>
  <c r="AA188" i="1"/>
  <c r="C144" i="1" s="1"/>
  <c r="AA194" i="1"/>
  <c r="C148" i="1" s="1"/>
  <c r="AA198" i="1"/>
  <c r="J151" i="1" s="1"/>
  <c r="AA190" i="1"/>
  <c r="C146" i="1" s="1"/>
  <c r="AA189" i="1"/>
  <c r="C145" i="1" s="1"/>
  <c r="AA197" i="1"/>
  <c r="I151" i="1" s="1"/>
  <c r="AA200" i="1" l="1"/>
  <c r="J152" i="1" s="1"/>
  <c r="AA202" i="1"/>
  <c r="J153" i="1" s="1"/>
  <c r="AA199" i="1"/>
  <c r="I152" i="1" s="1"/>
  <c r="AA201" i="1"/>
  <c r="I153" i="1" s="1"/>
  <c r="AA203" i="1" l="1"/>
  <c r="AA204" i="1"/>
  <c r="J154" i="1" s="1"/>
  <c r="AA186" i="1" s="1"/>
  <c r="G138" i="1" s="1"/>
  <c r="I154" i="1" l="1"/>
  <c r="AA185" i="1" s="1"/>
  <c r="G13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s>
  <commentList>
    <comment ref="C6" authorId="0" shapeId="0" xr:uid="{BF154B9C-D24D-458F-A274-B5FD3A3267CA}">
      <text>
        <r>
          <rPr>
            <b/>
            <sz val="8"/>
            <color indexed="81"/>
            <rFont val="Tahoma"/>
            <family val="2"/>
          </rPr>
          <t xml:space="preserve">L'estimation optimiste est ce à quoi on  peut raisonnablement s'attendre au moins 1 année sur 6. 
</t>
        </r>
      </text>
    </comment>
    <comment ref="E6" authorId="0" shapeId="0" xr:uid="{ED528576-0F61-4F53-98E7-B7B508C3E8C6}">
      <text>
        <r>
          <rPr>
            <b/>
            <sz val="8"/>
            <color indexed="81"/>
            <rFont val="Tahoma"/>
            <family val="2"/>
          </rPr>
          <t xml:space="preserve">Le résultat anticipé est le résultat le plus probable pour l'année en cours. </t>
        </r>
      </text>
    </comment>
    <comment ref="G6" authorId="0" shapeId="0" xr:uid="{B046EF66-A817-488C-A642-751074668B5B}">
      <text>
        <r>
          <rPr>
            <b/>
            <sz val="8"/>
            <color indexed="81"/>
            <rFont val="Tahoma"/>
            <family val="2"/>
          </rPr>
          <t xml:space="preserve">L'estimation pessimiste doit correspondre au plus faible résultat auquel on peut raisonnablement s'attendre 1 année sur 6.  
</t>
        </r>
        <r>
          <rPr>
            <sz val="8"/>
            <color indexed="81"/>
            <rFont val="Tahoma"/>
            <family val="2"/>
          </rPr>
          <t xml:space="preserve">
</t>
        </r>
      </text>
    </comment>
    <comment ref="C139" authorId="0" shapeId="0" xr:uid="{AA2683ED-E562-46B9-8898-163C05CC2D25}">
      <text>
        <r>
          <rPr>
            <b/>
            <sz val="8"/>
            <color indexed="81"/>
            <rFont val="Tahoma"/>
            <family val="2"/>
          </rPr>
          <t xml:space="preserve">Le coefficient de variation est utilisé à titre d'indicateur du niveau de risque de l'exploitation.  Il mesure en dollars le risque pris par dollar de revenu anticipé.  Plus le coefficient de variation est élevé, plus la variabilité de la fourchette de revenus de l'entreprise est grande. Plus le coefficient de variation est faible,  plus les probabilités que le résultat s'approche des prévisions sont élevées.   
Comparer le coefficient de variation de cette entreprise avec d'autres; les entreprises dont le coefficient de variation est moins élevé présentent moins de risques. 
</t>
        </r>
        <r>
          <rPr>
            <sz val="8"/>
            <color indexed="81"/>
            <rFont val="Tahoma"/>
            <family val="2"/>
          </rPr>
          <t xml:space="preserve">
</t>
        </r>
      </text>
    </comment>
  </commentList>
</comments>
</file>

<file path=xl/sharedStrings.xml><?xml version="1.0" encoding="utf-8"?>
<sst xmlns="http://schemas.openxmlformats.org/spreadsheetml/2006/main" count="308" uniqueCount="185">
  <si>
    <t>-------</t>
  </si>
  <si>
    <t xml:space="preserve">  ------</t>
  </si>
  <si>
    <t>-</t>
  </si>
  <si>
    <t xml:space="preserve">  -------</t>
  </si>
  <si>
    <t>Allo!C3..J14</t>
  </si>
  <si>
    <t xml:space="preserve"> Plants</t>
  </si>
  <si>
    <t>no.</t>
  </si>
  <si>
    <t xml:space="preserve">      1.</t>
  </si>
  <si>
    <t>Grip prob factor (component of grip)</t>
  </si>
  <si>
    <t>N/A</t>
  </si>
  <si>
    <t xml:space="preserve">      2.</t>
  </si>
  <si>
    <t>C.I. prob factor (component of Crop Insurance)</t>
  </si>
  <si>
    <t xml:space="preserve">      3.</t>
  </si>
  <si>
    <t xml:space="preserve">      4.</t>
  </si>
  <si>
    <t xml:space="preserve">      5.</t>
  </si>
  <si>
    <t xml:space="preserve">      6.</t>
  </si>
  <si>
    <t xml:space="preserve">  Insecticides</t>
  </si>
  <si>
    <t>ac</t>
  </si>
  <si>
    <t xml:space="preserve">  Herbicides</t>
  </si>
  <si>
    <t>$</t>
  </si>
  <si>
    <t>---</t>
  </si>
  <si>
    <t xml:space="preserve">  Insecticides:</t>
  </si>
  <si>
    <t>_______________</t>
  </si>
  <si>
    <t xml:space="preserve">  Herbicides:</t>
  </si>
  <si>
    <t xml:space="preserve">  Irrigation</t>
  </si>
  <si>
    <t>Wfarm!L4</t>
  </si>
  <si>
    <t>Wfarm!L5</t>
  </si>
  <si>
    <t>Wfarm!L6</t>
  </si>
  <si>
    <t>Wfarm!L7</t>
  </si>
  <si>
    <t>Wfarm!L8</t>
  </si>
  <si>
    <t>Wfarm!L9</t>
  </si>
  <si>
    <t>Wfarm!K4</t>
  </si>
  <si>
    <t>Wfarm!K5</t>
  </si>
  <si>
    <t>Wfarm!K6</t>
  </si>
  <si>
    <t>Wfarm!K7</t>
  </si>
  <si>
    <t>mn</t>
  </si>
  <si>
    <t>ystd</t>
  </si>
  <si>
    <t>pstd</t>
  </si>
  <si>
    <t>nrstd</t>
  </si>
  <si>
    <t xml:space="preserve">       17 %</t>
  </si>
  <si>
    <t xml:space="preserve">       33 %</t>
  </si>
  <si>
    <t>z</t>
  </si>
  <si>
    <t xml:space="preserve">       50 %</t>
  </si>
  <si>
    <t>v1</t>
  </si>
  <si>
    <t xml:space="preserve">       67 %</t>
  </si>
  <si>
    <t>v2</t>
  </si>
  <si>
    <t xml:space="preserve">       83 %</t>
  </si>
  <si>
    <t>p(vx)</t>
  </si>
  <si>
    <t/>
  </si>
  <si>
    <t>Engrais - Année pré-semis</t>
  </si>
  <si>
    <t>Engrais - Année du semis</t>
  </si>
  <si>
    <t>Engrais - Année de jachère</t>
  </si>
  <si>
    <t>Profit par acre:</t>
  </si>
  <si>
    <t>Nombre d'acres =</t>
  </si>
  <si>
    <t xml:space="preserve">    1 t.m. =</t>
  </si>
  <si>
    <t xml:space="preserve">  Assurance-récolte (AR)</t>
  </si>
  <si>
    <t xml:space="preserve">   Prime AR/acre</t>
  </si>
  <si>
    <t>Nombre prévu d'années de récoltes:</t>
  </si>
  <si>
    <t xml:space="preserve">   Couverture</t>
  </si>
  <si>
    <t>Taux actuel d'intérêt:</t>
  </si>
  <si>
    <t xml:space="preserve">   Rendement garanti/acre</t>
  </si>
  <si>
    <t>Taux actuel d'inflation:</t>
  </si>
  <si>
    <t xml:space="preserve">   Probabilité de paiement</t>
  </si>
  <si>
    <t xml:space="preserve">   Paiement anticipé/acre</t>
  </si>
  <si>
    <t xml:space="preserve">  Participation à AR? (o/n)</t>
  </si>
  <si>
    <t>Unité/ac</t>
  </si>
  <si>
    <t>Nombre</t>
  </si>
  <si>
    <t>Frais/unité</t>
  </si>
  <si>
    <t>$/acre</t>
  </si>
  <si>
    <t>$/année</t>
  </si>
  <si>
    <t>Frais</t>
  </si>
  <si>
    <t xml:space="preserve"> Fumier</t>
  </si>
  <si>
    <t>t.m.</t>
  </si>
  <si>
    <t xml:space="preserve"> Paille</t>
  </si>
  <si>
    <t xml:space="preserve"> Semences d'engrais verts</t>
  </si>
  <si>
    <t xml:space="preserve"> Produits de fumigation</t>
  </si>
  <si>
    <t>litre</t>
  </si>
  <si>
    <t xml:space="preserve"> FRAIS DIRECTS ACCUMULÉS:</t>
  </si>
  <si>
    <t xml:space="preserve"> Main-d'oeuvre saisonnière</t>
  </si>
  <si>
    <t>h</t>
  </si>
  <si>
    <t xml:space="preserve"> Main-d'oeuvre</t>
  </si>
  <si>
    <t>kg ou l</t>
  </si>
  <si>
    <t xml:space="preserve"> Chaux</t>
  </si>
  <si>
    <t>Nitrate d'ammoniaque</t>
  </si>
  <si>
    <t xml:space="preserve">  Fongicides</t>
  </si>
  <si>
    <t xml:space="preserve"> FRAIS INDIRECTS ACCUMULÉS</t>
  </si>
  <si>
    <t xml:space="preserve">  Carburant</t>
  </si>
  <si>
    <t xml:space="preserve">  Rép./entr. machinerie</t>
  </si>
  <si>
    <t xml:space="preserve">  Frais variables généraux</t>
  </si>
  <si>
    <t xml:space="preserve">  Intérêts sur cap. d'exploitation</t>
  </si>
  <si>
    <t>Total des frais variables à l'établissement</t>
  </si>
  <si>
    <t>Frais fixes:</t>
  </si>
  <si>
    <t xml:space="preserve">  Dépréciation</t>
  </si>
  <si>
    <t xml:space="preserve">  Intérêts sur prêts à terme</t>
  </si>
  <si>
    <t xml:space="preserve">  Locations à long terme</t>
  </si>
  <si>
    <t xml:space="preserve">  Frais fixes généraux</t>
  </si>
  <si>
    <t>Total des frais fixes à l'établissement</t>
  </si>
  <si>
    <t>TOTAL DES FRAIS à L'ÉTABLISSEMENT</t>
  </si>
  <si>
    <t>FRAIS DE PRODUCTION ANNUELS:</t>
  </si>
  <si>
    <t xml:space="preserve"> Contribution à l'établissement: entrée directe</t>
  </si>
  <si>
    <t xml:space="preserve"> Engrais:</t>
  </si>
  <si>
    <t>Autres apports-sol</t>
  </si>
  <si>
    <t>Fertilisants foliaires</t>
  </si>
  <si>
    <t xml:space="preserve"> Produits pour pulvérisations:</t>
  </si>
  <si>
    <t>Total</t>
  </si>
  <si>
    <t xml:space="preserve">                                   </t>
  </si>
  <si>
    <t xml:space="preserve">  Acaricides:</t>
  </si>
  <si>
    <t xml:space="preserve">  Fongicides:</t>
  </si>
  <si>
    <t xml:space="preserve"> Autres dépenses:</t>
  </si>
  <si>
    <t xml:space="preserve">  Paille</t>
  </si>
  <si>
    <t xml:space="preserve">  Assurance-récolte</t>
  </si>
  <si>
    <t>Assurance</t>
  </si>
  <si>
    <t xml:space="preserve">  Mise en marché</t>
  </si>
  <si>
    <t xml:space="preserve">  Travail à forfait, locations:</t>
  </si>
  <si>
    <t xml:space="preserve">   Location de toilettes</t>
  </si>
  <si>
    <t xml:space="preserve">   Contenants</t>
  </si>
  <si>
    <t>Comparaison</t>
  </si>
  <si>
    <t>Coûts ferme globale</t>
  </si>
  <si>
    <t xml:space="preserve"> $/acre</t>
  </si>
  <si>
    <t>répartis ($)</t>
  </si>
  <si>
    <t xml:space="preserve"> Carburant</t>
  </si>
  <si>
    <t xml:space="preserve"> Rép./entr. machinerie</t>
  </si>
  <si>
    <t xml:space="preserve"> Rép./entr. bâtiments</t>
  </si>
  <si>
    <t xml:space="preserve"> Loyer et main-d'oeuvre</t>
  </si>
  <si>
    <t xml:space="preserve"> Frais variables généraux</t>
  </si>
  <si>
    <t xml:space="preserve"> Intérêts sur le</t>
  </si>
  <si>
    <t xml:space="preserve"> capital d'exploitation</t>
  </si>
  <si>
    <t>% intérêt</t>
  </si>
  <si>
    <t xml:space="preserve"> % annuel</t>
  </si>
  <si>
    <t>Total des frais variables</t>
  </si>
  <si>
    <t xml:space="preserve"> Dépréciation</t>
  </si>
  <si>
    <t xml:space="preserve"> Intérêts sur prêts à terme</t>
  </si>
  <si>
    <t xml:space="preserve"> Frais fixes généraux</t>
  </si>
  <si>
    <t>Total des frais fixes</t>
  </si>
  <si>
    <t>Revenus:</t>
  </si>
  <si>
    <t>Total des revenus anticipés</t>
  </si>
  <si>
    <t xml:space="preserve">  moins: frais variables</t>
  </si>
  <si>
    <t>Marge d'exploitation anticipée</t>
  </si>
  <si>
    <t xml:space="preserve">  moins: frais fixes</t>
  </si>
  <si>
    <t>Revenu net anticipé</t>
  </si>
  <si>
    <t xml:space="preserve">   seuil de rentabilité pour couvrir:</t>
  </si>
  <si>
    <t>Frais variables</t>
  </si>
  <si>
    <t>Frais fixes</t>
  </si>
  <si>
    <t>Frais totaux</t>
  </si>
  <si>
    <t>Probabilité d'obtenir au moins le seuil de rentabilité =</t>
  </si>
  <si>
    <t xml:space="preserve">   "    d'au moins</t>
  </si>
  <si>
    <t>$/acre de profit =</t>
  </si>
  <si>
    <t>$ de profit</t>
  </si>
  <si>
    <t>Probabilité d'au moins</t>
  </si>
  <si>
    <t>/acre</t>
  </si>
  <si>
    <t>ce profit par acre:</t>
  </si>
  <si>
    <t>fraise1</t>
  </si>
  <si>
    <t xml:space="preserve">   Montant en $/qts au</t>
  </si>
  <si>
    <t>Révisé: Déc '22</t>
  </si>
  <si>
    <t>kg</t>
  </si>
  <si>
    <t>N</t>
  </si>
  <si>
    <t>K</t>
  </si>
  <si>
    <t>Autre</t>
  </si>
  <si>
    <t xml:space="preserve">  Acaricides</t>
  </si>
  <si>
    <t xml:space="preserve"> Irrigation </t>
  </si>
  <si>
    <t>oui</t>
  </si>
  <si>
    <t>Risque peu élevé</t>
  </si>
  <si>
    <t>Risque moyen</t>
  </si>
  <si>
    <t>Risque élevé</t>
  </si>
  <si>
    <t>L'utilisateur de la présente feuille de travail est entièrement responsable de son contenu.</t>
  </si>
  <si>
    <t>Pour plus d'information</t>
  </si>
  <si>
    <t>Centre d'information agricole du MAAARO</t>
  </si>
  <si>
    <t>ag.info.omafra@ontario.ca</t>
  </si>
  <si>
    <t>1 877 424-1300</t>
  </si>
  <si>
    <t>fin de la feuille de calcul</t>
  </si>
  <si>
    <t>Il s’agit d’un outil de budgétisation contenant un chiffrier pour le calcul du coût de production. Des champs à remplir sont prévus pour l’utilisateur. L’outil comporte 21 colonnes et 252 lignes.</t>
  </si>
  <si>
    <t xml:space="preserve">Chaque exploitant peut modifier les nombres en bleu pour refléter les données de son entreprise. </t>
  </si>
  <si>
    <t>Optimiste</t>
  </si>
  <si>
    <t xml:space="preserve"> Anticipé</t>
  </si>
  <si>
    <t>Pessimiste</t>
  </si>
  <si>
    <t>Coefficient de variance     =</t>
  </si>
  <si>
    <t>Indicateur de risque</t>
  </si>
  <si>
    <t>lbs</t>
  </si>
  <si>
    <t>Rendement - lbs</t>
  </si>
  <si>
    <t>Prix - $/lbs</t>
  </si>
  <si>
    <t>Production - lbs</t>
  </si>
  <si>
    <t>BUDGET DE L'ENTREPRISE: Fraisiers à production continue</t>
  </si>
  <si>
    <t>FRAIS D'ÉTABLISSEMENT: (pré-semis)</t>
  </si>
  <si>
    <t xml:space="preserve">  Paillis de plastique</t>
  </si>
  <si>
    <t xml:space="preserve">  Entreposage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</si>
</sst>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0_);\(&quot;$&quot;#,##0\)"/>
    <numFmt numFmtId="165" formatCode="&quot;$&quot;#,##0.00_);\(&quot;$&quot;#,##0.00\)"/>
    <numFmt numFmtId="166" formatCode=";;;"/>
    <numFmt numFmtId="167" formatCode="0.00_)"/>
    <numFmt numFmtId="168" formatCode="0.000_)"/>
    <numFmt numFmtId="169" formatCode="0_)"/>
    <numFmt numFmtId="170" formatCode="0.0%"/>
  </numFmts>
  <fonts count="16" x14ac:knownFonts="1">
    <font>
      <sz val="10"/>
      <name val="Arial"/>
    </font>
    <font>
      <sz val="10"/>
      <name val="Courier"/>
    </font>
    <font>
      <b/>
      <sz val="9"/>
      <color indexed="8"/>
      <name val="Arial"/>
      <family val="2"/>
    </font>
    <font>
      <b/>
      <sz val="12"/>
      <name val="Arial"/>
      <family val="2"/>
    </font>
    <font>
      <b/>
      <sz val="12"/>
      <color indexed="8"/>
      <name val="Arial"/>
      <family val="2"/>
    </font>
    <font>
      <sz val="12"/>
      <name val="Courier"/>
    </font>
    <font>
      <sz val="12"/>
      <color indexed="8"/>
      <name val="Arial"/>
      <family val="2"/>
    </font>
    <font>
      <b/>
      <sz val="12"/>
      <color indexed="12"/>
      <name val="Arial"/>
      <family val="2"/>
    </font>
    <font>
      <b/>
      <u/>
      <sz val="12"/>
      <color indexed="12"/>
      <name val="Arial"/>
      <family val="2"/>
    </font>
    <font>
      <sz val="12"/>
      <name val="Courier New"/>
      <family val="3"/>
    </font>
    <font>
      <u/>
      <sz val="10"/>
      <color theme="10"/>
      <name val="Arial"/>
      <family val="2"/>
    </font>
    <font>
      <sz val="12"/>
      <name val="Courier"/>
      <family val="3"/>
    </font>
    <font>
      <u/>
      <sz val="12"/>
      <color indexed="12"/>
      <name val="Arial"/>
      <family val="2"/>
    </font>
    <font>
      <sz val="10"/>
      <name val="Courier"/>
      <family val="3"/>
    </font>
    <font>
      <b/>
      <sz val="8"/>
      <color indexed="81"/>
      <name val="Tahoma"/>
      <family val="2"/>
    </font>
    <font>
      <sz val="8"/>
      <color indexed="81"/>
      <name val="Tahoma"/>
      <family val="2"/>
    </font>
  </fonts>
  <fills count="8">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42"/>
        <bgColor indexed="9"/>
      </patternFill>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double">
        <color indexed="0"/>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1">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applyNumberFormat="0" applyFill="0" applyBorder="0" applyAlignment="0" applyProtection="0"/>
    <xf numFmtId="0" fontId="13" fillId="0" borderId="0"/>
    <xf numFmtId="0" fontId="13" fillId="0" borderId="0"/>
  </cellStyleXfs>
  <cellXfs count="132">
    <xf numFmtId="0" fontId="0" fillId="0" borderId="0" xfId="0"/>
    <xf numFmtId="167" fontId="3" fillId="5" borderId="5" xfId="0" applyNumberFormat="1" applyFont="1" applyFill="1" applyBorder="1" applyAlignment="1">
      <alignment horizontal="center"/>
    </xf>
    <xf numFmtId="0" fontId="4" fillId="2" borderId="2" xfId="4" applyFont="1" applyFill="1" applyBorder="1" applyAlignment="1" applyProtection="1">
      <alignment horizontal="left"/>
    </xf>
    <xf numFmtId="0" fontId="4" fillId="2" borderId="2" xfId="4" applyFont="1" applyFill="1" applyBorder="1"/>
    <xf numFmtId="0" fontId="4" fillId="2" borderId="3" xfId="4" applyFont="1" applyFill="1" applyBorder="1"/>
    <xf numFmtId="0" fontId="4" fillId="0" borderId="0" xfId="4" applyFont="1"/>
    <xf numFmtId="0" fontId="5" fillId="0" borderId="0" xfId="4" applyFont="1"/>
    <xf numFmtId="169" fontId="5" fillId="0" borderId="0" xfId="4" applyNumberFormat="1" applyFont="1"/>
    <xf numFmtId="166" fontId="4" fillId="2" borderId="4" xfId="4" applyNumberFormat="1" applyFont="1" applyFill="1" applyBorder="1" applyProtection="1"/>
    <xf numFmtId="0" fontId="6" fillId="2" borderId="0" xfId="6" applyFont="1" applyFill="1" applyBorder="1"/>
    <xf numFmtId="166" fontId="4" fillId="2" borderId="0" xfId="6" applyNumberFormat="1" applyFont="1" applyFill="1" applyBorder="1" applyProtection="1"/>
    <xf numFmtId="0" fontId="4" fillId="2" borderId="0" xfId="6" applyFont="1" applyFill="1" applyBorder="1"/>
    <xf numFmtId="0" fontId="4" fillId="2" borderId="0" xfId="1" applyFont="1" applyFill="1" applyBorder="1" applyAlignment="1" applyProtection="1">
      <alignment horizontal="left"/>
    </xf>
    <xf numFmtId="0" fontId="4" fillId="2" borderId="0" xfId="4" applyFont="1" applyFill="1" applyBorder="1"/>
    <xf numFmtId="164" fontId="4" fillId="2" borderId="5" xfId="4" applyNumberFormat="1" applyFont="1" applyFill="1" applyBorder="1" applyAlignment="1" applyProtection="1">
      <alignment horizontal="center"/>
    </xf>
    <xf numFmtId="0" fontId="4" fillId="2" borderId="4" xfId="4" applyFont="1" applyFill="1" applyBorder="1"/>
    <xf numFmtId="0" fontId="3" fillId="5" borderId="0" xfId="0" applyFont="1" applyFill="1"/>
    <xf numFmtId="0" fontId="7" fillId="3" borderId="6" xfId="6" applyFont="1" applyFill="1" applyBorder="1" applyAlignment="1" applyProtection="1">
      <alignment horizontal="center"/>
      <protection locked="0"/>
    </xf>
    <xf numFmtId="0" fontId="4" fillId="2" borderId="0" xfId="4" applyFont="1" applyFill="1" applyBorder="1" applyProtection="1"/>
    <xf numFmtId="0" fontId="4" fillId="2" borderId="5" xfId="4" applyFont="1" applyFill="1" applyBorder="1" applyAlignment="1" applyProtection="1">
      <alignment horizontal="left"/>
    </xf>
    <xf numFmtId="0" fontId="4" fillId="4" borderId="7" xfId="4" applyFont="1" applyFill="1" applyBorder="1" applyAlignment="1" applyProtection="1">
      <alignment horizontal="fill"/>
    </xf>
    <xf numFmtId="0" fontId="4" fillId="2" borderId="4" xfId="4" applyFont="1" applyFill="1" applyBorder="1" applyProtection="1"/>
    <xf numFmtId="0" fontId="4" fillId="2" borderId="0" xfId="6" applyFont="1" applyFill="1" applyBorder="1" applyAlignment="1" applyProtection="1">
      <alignment horizontal="left"/>
    </xf>
    <xf numFmtId="0" fontId="4" fillId="2" borderId="0" xfId="6" applyFont="1" applyFill="1" applyBorder="1" applyAlignment="1" applyProtection="1">
      <alignment horizontal="center"/>
    </xf>
    <xf numFmtId="0" fontId="4" fillId="2" borderId="5" xfId="4" applyFont="1" applyFill="1" applyBorder="1" applyProtection="1"/>
    <xf numFmtId="0" fontId="4" fillId="2" borderId="4" xfId="4" applyFont="1" applyFill="1" applyBorder="1" applyAlignment="1" applyProtection="1">
      <alignment horizontal="left"/>
    </xf>
    <xf numFmtId="0" fontId="7" fillId="3" borderId="6" xfId="4" applyFont="1" applyFill="1" applyBorder="1" applyAlignment="1" applyProtection="1">
      <alignment horizontal="center"/>
      <protection locked="0"/>
    </xf>
    <xf numFmtId="0" fontId="4" fillId="2" borderId="5" xfId="4" applyFont="1" applyFill="1" applyBorder="1"/>
    <xf numFmtId="167" fontId="7" fillId="3" borderId="6" xfId="4" applyNumberFormat="1" applyFont="1" applyFill="1" applyBorder="1" applyAlignment="1" applyProtection="1">
      <alignment horizontal="center"/>
      <protection locked="0"/>
    </xf>
    <xf numFmtId="169" fontId="4" fillId="2" borderId="0" xfId="4" applyNumberFormat="1" applyFont="1" applyFill="1" applyBorder="1" applyAlignment="1" applyProtection="1">
      <alignment horizontal="center"/>
    </xf>
    <xf numFmtId="0" fontId="4" fillId="2" borderId="0" xfId="5" applyFont="1" applyFill="1" applyBorder="1" applyProtection="1"/>
    <xf numFmtId="0" fontId="4" fillId="2" borderId="0" xfId="5" applyFont="1" applyFill="1" applyBorder="1"/>
    <xf numFmtId="167" fontId="4" fillId="2" borderId="0" xfId="5" applyNumberFormat="1" applyFont="1" applyFill="1" applyBorder="1" applyProtection="1"/>
    <xf numFmtId="167" fontId="7" fillId="3" borderId="6" xfId="5" applyNumberFormat="1" applyFont="1" applyFill="1" applyBorder="1" applyAlignment="1" applyProtection="1">
      <alignment horizontal="center"/>
      <protection locked="0"/>
    </xf>
    <xf numFmtId="0" fontId="4" fillId="2" borderId="0" xfId="3" applyFont="1" applyFill="1" applyBorder="1" applyAlignment="1" applyProtection="1">
      <alignment horizontal="left"/>
    </xf>
    <xf numFmtId="165" fontId="4" fillId="2" borderId="0" xfId="4" applyNumberFormat="1" applyFont="1" applyFill="1" applyBorder="1" applyProtection="1"/>
    <xf numFmtId="167" fontId="4" fillId="2" borderId="0" xfId="4" applyNumberFormat="1" applyFont="1" applyFill="1" applyBorder="1" applyProtection="1"/>
    <xf numFmtId="9" fontId="7" fillId="3" borderId="6" xfId="5" applyNumberFormat="1" applyFont="1" applyFill="1" applyBorder="1" applyAlignment="1" applyProtection="1">
      <alignment horizontal="center"/>
      <protection locked="0"/>
    </xf>
    <xf numFmtId="170" fontId="4" fillId="2" borderId="0" xfId="4" applyNumberFormat="1" applyFont="1" applyFill="1" applyBorder="1" applyProtection="1"/>
    <xf numFmtId="10" fontId="7" fillId="3" borderId="6" xfId="4" applyNumberFormat="1" applyFont="1" applyFill="1" applyBorder="1" applyAlignment="1" applyProtection="1">
      <alignment horizontal="center"/>
      <protection locked="0"/>
    </xf>
    <xf numFmtId="0" fontId="4" fillId="0" borderId="0" xfId="4" applyFont="1" applyProtection="1"/>
    <xf numFmtId="167" fontId="4" fillId="2" borderId="0" xfId="5" applyNumberFormat="1" applyFont="1" applyFill="1" applyBorder="1" applyAlignment="1" applyProtection="1">
      <alignment horizontal="center"/>
    </xf>
    <xf numFmtId="10" fontId="4" fillId="2" borderId="0" xfId="5" applyNumberFormat="1" applyFont="1" applyFill="1" applyBorder="1" applyAlignment="1" applyProtection="1">
      <alignment horizontal="center"/>
    </xf>
    <xf numFmtId="169" fontId="4" fillId="2" borderId="5" xfId="4" applyNumberFormat="1" applyFont="1" applyFill="1" applyBorder="1" applyProtection="1"/>
    <xf numFmtId="169" fontId="4" fillId="0" borderId="0" xfId="4" applyNumberFormat="1" applyFont="1" applyAlignment="1" applyProtection="1">
      <alignment horizontal="center"/>
    </xf>
    <xf numFmtId="165" fontId="4" fillId="2" borderId="0" xfId="5" applyNumberFormat="1" applyFont="1" applyFill="1" applyBorder="1" applyAlignment="1" applyProtection="1">
      <alignment horizontal="center"/>
    </xf>
    <xf numFmtId="0" fontId="4" fillId="2" borderId="0" xfId="6" applyFont="1" applyFill="1" applyBorder="1" applyProtection="1"/>
    <xf numFmtId="166" fontId="4" fillId="2" borderId="0" xfId="5" applyNumberFormat="1" applyFont="1" applyFill="1" applyBorder="1" applyAlignment="1" applyProtection="1">
      <alignment horizontal="center"/>
    </xf>
    <xf numFmtId="169" fontId="4" fillId="2" borderId="0" xfId="4" applyNumberFormat="1" applyFont="1" applyFill="1" applyBorder="1" applyProtection="1"/>
    <xf numFmtId="10" fontId="4" fillId="2" borderId="5" xfId="4" applyNumberFormat="1" applyFont="1" applyFill="1" applyBorder="1" applyProtection="1"/>
    <xf numFmtId="0" fontId="7" fillId="5" borderId="8" xfId="5" applyFont="1" applyFill="1" applyBorder="1" applyAlignment="1" applyProtection="1">
      <alignment horizontal="center"/>
      <protection locked="0"/>
    </xf>
    <xf numFmtId="167" fontId="4" fillId="2" borderId="5" xfId="4" applyNumberFormat="1" applyFont="1" applyFill="1" applyBorder="1" applyProtection="1"/>
    <xf numFmtId="0" fontId="4" fillId="0" borderId="0" xfId="4" applyFont="1" applyAlignment="1" applyProtection="1">
      <alignment horizontal="center"/>
    </xf>
    <xf numFmtId="0" fontId="4" fillId="2" borderId="5" xfId="6" applyFont="1" applyFill="1" applyBorder="1" applyAlignment="1" applyProtection="1">
      <alignment horizontal="center"/>
    </xf>
    <xf numFmtId="0" fontId="4" fillId="2" borderId="4" xfId="3" applyFont="1" applyFill="1" applyBorder="1" applyAlignment="1" applyProtection="1">
      <alignment horizontal="left"/>
    </xf>
    <xf numFmtId="0" fontId="4" fillId="2" borderId="0" xfId="4" applyFont="1" applyFill="1" applyBorder="1" applyAlignment="1" applyProtection="1">
      <alignment horizontal="center"/>
    </xf>
    <xf numFmtId="0" fontId="4" fillId="2" borderId="5" xfId="4" applyFont="1" applyFill="1" applyBorder="1" applyAlignment="1" applyProtection="1">
      <alignment horizontal="center"/>
    </xf>
    <xf numFmtId="10" fontId="4" fillId="2" borderId="0" xfId="4" applyNumberFormat="1" applyFont="1" applyFill="1" applyBorder="1" applyProtection="1"/>
    <xf numFmtId="0" fontId="4" fillId="0" borderId="0" xfId="4" applyFont="1" applyAlignment="1" applyProtection="1">
      <alignment horizontal="left"/>
    </xf>
    <xf numFmtId="0" fontId="4" fillId="2" borderId="4" xfId="5" applyFont="1" applyFill="1" applyBorder="1" applyAlignment="1" applyProtection="1">
      <alignment horizontal="left"/>
    </xf>
    <xf numFmtId="0" fontId="7" fillId="5" borderId="5" xfId="5" applyFont="1" applyFill="1" applyBorder="1" applyAlignment="1" applyProtection="1">
      <alignment horizontal="left"/>
      <protection locked="0"/>
    </xf>
    <xf numFmtId="168" fontId="7" fillId="3" borderId="6" xfId="4" applyNumberFormat="1" applyFont="1" applyFill="1" applyBorder="1" applyAlignment="1" applyProtection="1">
      <alignment horizontal="center"/>
      <protection locked="0"/>
    </xf>
    <xf numFmtId="169" fontId="4" fillId="2" borderId="5" xfId="4" applyNumberFormat="1" applyFont="1" applyFill="1" applyBorder="1" applyAlignment="1" applyProtection="1">
      <alignment horizontal="center"/>
    </xf>
    <xf numFmtId="0" fontId="4" fillId="2" borderId="0" xfId="3" applyFont="1" applyFill="1" applyBorder="1" applyProtection="1"/>
    <xf numFmtId="0" fontId="4" fillId="2" borderId="0" xfId="3" applyFont="1" applyFill="1" applyBorder="1"/>
    <xf numFmtId="0" fontId="7" fillId="5" borderId="5" xfId="7" applyFont="1" applyFill="1" applyBorder="1" applyAlignment="1" applyProtection="1">
      <alignment horizontal="left"/>
      <protection locked="0"/>
    </xf>
    <xf numFmtId="0" fontId="7" fillId="5" borderId="0" xfId="4" applyFont="1" applyFill="1" applyBorder="1" applyAlignment="1" applyProtection="1">
      <alignment horizontal="left"/>
      <protection locked="0"/>
    </xf>
    <xf numFmtId="0" fontId="7" fillId="5" borderId="5" xfId="3" applyFont="1" applyFill="1" applyBorder="1" applyAlignment="1" applyProtection="1">
      <alignment horizontal="left"/>
      <protection locked="0"/>
    </xf>
    <xf numFmtId="0" fontId="7" fillId="5" borderId="0" xfId="3" applyFont="1" applyFill="1" applyBorder="1" applyAlignment="1" applyProtection="1">
      <alignment horizontal="left"/>
      <protection locked="0"/>
    </xf>
    <xf numFmtId="0" fontId="6" fillId="2" borderId="0" xfId="4" applyFont="1" applyFill="1" applyBorder="1" applyProtection="1"/>
    <xf numFmtId="0" fontId="7" fillId="5" borderId="5" xfId="4" applyFont="1" applyFill="1" applyBorder="1" applyAlignment="1" applyProtection="1">
      <alignment horizontal="left"/>
      <protection locked="0"/>
    </xf>
    <xf numFmtId="166" fontId="4" fillId="0" borderId="0" xfId="4" applyNumberFormat="1" applyFont="1" applyProtection="1"/>
    <xf numFmtId="0" fontId="4" fillId="2" borderId="4" xfId="3" applyFont="1" applyFill="1" applyBorder="1" applyProtection="1"/>
    <xf numFmtId="0" fontId="4" fillId="2" borderId="4" xfId="5" applyFont="1" applyFill="1" applyBorder="1" applyProtection="1"/>
    <xf numFmtId="0" fontId="3" fillId="6" borderId="9" xfId="0" applyFont="1" applyFill="1" applyBorder="1"/>
    <xf numFmtId="166" fontId="4" fillId="2" borderId="0" xfId="4" applyNumberFormat="1" applyFont="1" applyFill="1" applyBorder="1" applyProtection="1"/>
    <xf numFmtId="0" fontId="7" fillId="5" borderId="0" xfId="5" applyFont="1" applyFill="1" applyBorder="1" applyAlignment="1" applyProtection="1">
      <alignment horizontal="left"/>
      <protection locked="0"/>
    </xf>
    <xf numFmtId="0" fontId="8" fillId="5" borderId="0" xfId="3" applyFont="1" applyFill="1" applyBorder="1" applyAlignment="1" applyProtection="1">
      <alignment horizontal="left"/>
      <protection locked="0"/>
    </xf>
    <xf numFmtId="169" fontId="4" fillId="2" borderId="0" xfId="5" applyNumberFormat="1" applyFont="1" applyFill="1" applyBorder="1" applyProtection="1"/>
    <xf numFmtId="167" fontId="4" fillId="2" borderId="0" xfId="4" applyNumberFormat="1" applyFont="1" applyFill="1" applyBorder="1" applyAlignment="1" applyProtection="1">
      <alignment horizontal="center"/>
    </xf>
    <xf numFmtId="0" fontId="4" fillId="2" borderId="4" xfId="2" applyFont="1" applyFill="1" applyBorder="1" applyAlignment="1" applyProtection="1">
      <alignment horizontal="left"/>
    </xf>
    <xf numFmtId="169" fontId="4" fillId="2" borderId="0" xfId="6" applyNumberFormat="1" applyFont="1" applyFill="1" applyBorder="1" applyProtection="1"/>
    <xf numFmtId="0" fontId="4" fillId="2" borderId="5" xfId="6" applyFont="1" applyFill="1" applyBorder="1" applyProtection="1"/>
    <xf numFmtId="0" fontId="4" fillId="2" borderId="4" xfId="6" applyFont="1" applyFill="1" applyBorder="1" applyAlignment="1" applyProtection="1">
      <alignment horizontal="left"/>
    </xf>
    <xf numFmtId="166" fontId="4" fillId="2" borderId="5" xfId="4" applyNumberFormat="1" applyFont="1" applyFill="1" applyBorder="1" applyProtection="1"/>
    <xf numFmtId="0" fontId="4" fillId="2" borderId="4" xfId="5" applyFont="1" applyFill="1" applyBorder="1"/>
    <xf numFmtId="0" fontId="4" fillId="2" borderId="4" xfId="6" applyFont="1" applyFill="1" applyBorder="1" applyProtection="1"/>
    <xf numFmtId="0" fontId="4" fillId="4" borderId="7" xfId="5" applyFont="1" applyFill="1" applyBorder="1" applyAlignment="1" applyProtection="1">
      <alignment horizontal="fill"/>
    </xf>
    <xf numFmtId="167" fontId="5" fillId="0" borderId="0" xfId="4" applyNumberFormat="1" applyFont="1"/>
    <xf numFmtId="9" fontId="4" fillId="2" borderId="0" xfId="4" applyNumberFormat="1" applyFont="1" applyFill="1" applyBorder="1" applyProtection="1"/>
    <xf numFmtId="0" fontId="5" fillId="5" borderId="0" xfId="4" applyFont="1" applyFill="1"/>
    <xf numFmtId="9" fontId="4" fillId="2" borderId="0" xfId="4" applyNumberFormat="1" applyFont="1" applyFill="1" applyBorder="1" applyAlignment="1" applyProtection="1">
      <alignment horizontal="center"/>
    </xf>
    <xf numFmtId="166" fontId="4" fillId="2" borderId="5" xfId="4" applyNumberFormat="1" applyFont="1" applyFill="1" applyBorder="1" applyAlignment="1" applyProtection="1">
      <alignment horizontal="left"/>
    </xf>
    <xf numFmtId="167" fontId="4" fillId="2" borderId="0" xfId="6" applyNumberFormat="1" applyFont="1" applyFill="1" applyBorder="1" applyAlignment="1" applyProtection="1">
      <alignment horizontal="center"/>
    </xf>
    <xf numFmtId="0" fontId="4" fillId="2" borderId="0" xfId="4" applyFont="1" applyFill="1" applyBorder="1" applyAlignment="1">
      <alignment horizontal="center"/>
    </xf>
    <xf numFmtId="166" fontId="4" fillId="0" borderId="0" xfId="4" applyNumberFormat="1" applyFont="1" applyAlignment="1" applyProtection="1">
      <alignment horizontal="center"/>
    </xf>
    <xf numFmtId="37" fontId="4" fillId="2" borderId="0" xfId="4" applyNumberFormat="1" applyFont="1" applyFill="1" applyBorder="1" applyProtection="1"/>
    <xf numFmtId="0" fontId="4" fillId="2" borderId="0" xfId="4" applyFont="1" applyFill="1" applyBorder="1" applyAlignment="1" applyProtection="1">
      <alignment horizontal="left"/>
    </xf>
    <xf numFmtId="0" fontId="7" fillId="5" borderId="8" xfId="4" applyFont="1" applyFill="1" applyBorder="1" applyAlignment="1" applyProtection="1">
      <alignment horizontal="center"/>
      <protection locked="0"/>
    </xf>
    <xf numFmtId="0" fontId="4" fillId="4" borderId="0" xfId="4" applyFont="1" applyFill="1" applyBorder="1"/>
    <xf numFmtId="169" fontId="4" fillId="4" borderId="0" xfId="4" applyNumberFormat="1" applyFont="1" applyFill="1" applyBorder="1" applyProtection="1"/>
    <xf numFmtId="166" fontId="5" fillId="0" borderId="0" xfId="4" applyNumberFormat="1" applyFont="1"/>
    <xf numFmtId="0" fontId="9" fillId="0" borderId="0" xfId="4" applyFont="1"/>
    <xf numFmtId="0" fontId="11" fillId="0" borderId="1" xfId="0" applyFont="1" applyBorder="1"/>
    <xf numFmtId="0" fontId="4" fillId="4" borderId="2" xfId="0" applyFont="1" applyFill="1" applyBorder="1" applyAlignment="1">
      <alignment horizontal="fill"/>
    </xf>
    <xf numFmtId="0" fontId="4" fillId="4" borderId="3" xfId="0" applyFont="1" applyFill="1" applyBorder="1" applyAlignment="1">
      <alignment horizontal="fill"/>
    </xf>
    <xf numFmtId="0" fontId="4" fillId="4" borderId="4" xfId="0" quotePrefix="1" applyFont="1" applyFill="1" applyBorder="1" applyAlignment="1">
      <alignment horizontal="left"/>
    </xf>
    <xf numFmtId="0" fontId="4" fillId="4" borderId="0" xfId="0" applyFont="1" applyFill="1"/>
    <xf numFmtId="0" fontId="4" fillId="4" borderId="4" xfId="0" quotePrefix="1" applyFont="1" applyFill="1" applyBorder="1" applyAlignment="1">
      <alignment horizontal="center"/>
    </xf>
    <xf numFmtId="0" fontId="4" fillId="4" borderId="5" xfId="0" applyFont="1" applyFill="1" applyBorder="1"/>
    <xf numFmtId="0" fontId="4" fillId="4" borderId="4" xfId="0" applyFont="1" applyFill="1" applyBorder="1"/>
    <xf numFmtId="9" fontId="4" fillId="4" borderId="0" xfId="0" applyNumberFormat="1" applyFont="1" applyFill="1"/>
    <xf numFmtId="0" fontId="11" fillId="0" borderId="4" xfId="0" applyFont="1" applyBorder="1"/>
    <xf numFmtId="0" fontId="12" fillId="4" borderId="4" xfId="8" applyFont="1" applyFill="1" applyBorder="1" applyAlignment="1" applyProtection="1">
      <alignment horizontal="center"/>
    </xf>
    <xf numFmtId="0" fontId="4" fillId="4" borderId="10" xfId="0" applyFont="1" applyFill="1" applyBorder="1"/>
    <xf numFmtId="0" fontId="4" fillId="4" borderId="8" xfId="0" applyFont="1" applyFill="1" applyBorder="1"/>
    <xf numFmtId="9" fontId="4" fillId="4" borderId="8" xfId="0" applyNumberFormat="1" applyFont="1" applyFill="1" applyBorder="1"/>
    <xf numFmtId="169" fontId="4" fillId="4" borderId="8" xfId="0" applyNumberFormat="1" applyFont="1" applyFill="1" applyBorder="1"/>
    <xf numFmtId="169" fontId="4" fillId="4" borderId="11" xfId="0" applyNumberFormat="1" applyFont="1" applyFill="1" applyBorder="1"/>
    <xf numFmtId="0" fontId="4" fillId="4" borderId="0" xfId="1" applyFont="1" applyFill="1"/>
    <xf numFmtId="0" fontId="2" fillId="4" borderId="0" xfId="1" applyFont="1" applyFill="1"/>
    <xf numFmtId="167" fontId="2" fillId="4" borderId="0" xfId="1" applyNumberFormat="1" applyFont="1" applyFill="1"/>
    <xf numFmtId="0" fontId="3" fillId="0" borderId="0" xfId="2" applyFont="1"/>
    <xf numFmtId="166" fontId="4" fillId="2" borderId="1" xfId="4" applyNumberFormat="1" applyFont="1" applyFill="1" applyBorder="1" applyProtection="1"/>
    <xf numFmtId="0" fontId="7" fillId="7" borderId="12" xfId="9" applyFont="1" applyFill="1" applyBorder="1" applyAlignment="1">
      <alignment horizontal="left"/>
    </xf>
    <xf numFmtId="0" fontId="3" fillId="5" borderId="2" xfId="0" applyFont="1" applyFill="1" applyBorder="1" applyAlignment="1">
      <alignment horizontal="center"/>
    </xf>
    <xf numFmtId="0" fontId="4" fillId="2" borderId="0" xfId="10" applyFont="1" applyFill="1"/>
    <xf numFmtId="0" fontId="3" fillId="5" borderId="0" xfId="0" applyFont="1" applyFill="1" applyAlignment="1">
      <alignment horizontal="right"/>
    </xf>
    <xf numFmtId="0" fontId="4" fillId="4" borderId="0" xfId="0" applyFont="1" applyFill="1" applyBorder="1" applyAlignment="1">
      <alignment horizontal="center"/>
    </xf>
    <xf numFmtId="0" fontId="10" fillId="0" borderId="8" xfId="8" applyFill="1" applyBorder="1" applyAlignment="1" applyProtection="1">
      <alignment horizontal="center"/>
    </xf>
    <xf numFmtId="0" fontId="3" fillId="5" borderId="0" xfId="5" applyFont="1" applyFill="1" applyBorder="1" applyAlignment="1" applyProtection="1">
      <alignment horizontal="left"/>
      <protection locked="0"/>
    </xf>
    <xf numFmtId="0" fontId="3" fillId="2" borderId="2" xfId="1" applyFont="1" applyFill="1" applyBorder="1" applyAlignment="1" applyProtection="1">
      <alignment horizontal="left"/>
    </xf>
  </cellXfs>
  <cellStyles count="11">
    <cellStyle name="Hyperlink" xfId="8" builtinId="8"/>
    <cellStyle name="Normal" xfId="0" builtinId="0"/>
    <cellStyle name="Normal_APPLE" xfId="9" xr:uid="{303B557C-0B9E-425E-97AD-A2A3EF6DC184}"/>
    <cellStyle name="Normal_Corn2" xfId="10" xr:uid="{535D98EE-1BD5-4F3C-A441-C1D2FA818377}"/>
    <cellStyle name="Normal_Oats" xfId="1" xr:uid="{00000000-0005-0000-0000-000001000000}"/>
    <cellStyle name="Normal_Raspc2" xfId="2" xr:uid="{00000000-0005-0000-0000-000002000000}"/>
    <cellStyle name="Normal_Raspp2" xfId="3" xr:uid="{00000000-0005-0000-0000-000003000000}"/>
    <cellStyle name="Normal_Strawc2" xfId="4" xr:uid="{00000000-0005-0000-0000-000004000000}"/>
    <cellStyle name="Normal_Strawp2" xfId="5" xr:uid="{00000000-0005-0000-0000-000005000000}"/>
    <cellStyle name="Normal_Swheat" xfId="6" xr:uid="{00000000-0005-0000-0000-000006000000}"/>
    <cellStyle name="Normal_Yplum" xfId="7" xr:uid="{00000000-0005-0000-0000-000007000000}"/>
  </cellStyles>
  <dxfs count="3">
    <dxf>
      <fill>
        <patternFill>
          <bgColor indexed="10"/>
        </patternFill>
      </fill>
    </dxf>
    <dxf>
      <fill>
        <patternFill>
          <bgColor indexed="13"/>
        </patternFill>
      </fill>
    </dxf>
    <dxf>
      <fill>
        <patternFill>
          <bgColor indexed="5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ustomXml" Target="../customXml/item1.xml"/><Relationship Id="rId2" Type="http://schemas.openxmlformats.org/officeDocument/2006/relationships/externalLink" Target="externalLinks/externalLink1.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haredStrings" Target="sharedStrings.xml"/><Relationship Id="rId10" Type="http://schemas.openxmlformats.org/officeDocument/2006/relationships/externalLink" Target="externalLinks/externalLink9.xml"/><Relationship Id="rId19" Type="http://schemas.openxmlformats.org/officeDocument/2006/relationships/customXml" Target="../customXml/item3.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524556</xdr:colOff>
      <xdr:row>3</xdr:row>
      <xdr:rowOff>23704</xdr:rowOff>
    </xdr:to>
    <xdr:pic>
      <xdr:nvPicPr>
        <xdr:cNvPr id="3" name="Picture 2" descr="This is the Ontario Trillium logo">
          <a:extLst>
            <a:ext uri="{FF2B5EF4-FFF2-40B4-BE49-F238E27FC236}">
              <a16:creationId xmlns:a16="http://schemas.microsoft.com/office/drawing/2014/main" id="{6466A85F-76F9-447A-BBE0-C0A40FAEAAA8}"/>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195943"/>
          <a:ext cx="1858056" cy="4155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Desktop/Program%20Files/Bear2000/Budget%20Files/Crops/Grains/Corn.bp"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WINDOWS/Desktop/Program%20Files/Bear2000/Budget%20Files/Crops/Forages/Silage.bp"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TEMP/Soyb.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ook19"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Book26"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WINDOWS/Desktop/Program%20Files/Bear2000/Budget%20Files/Livestock/Poultry/turkey.bp"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Book12"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Book11"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TEMP/Raspp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TEMP/Scano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TEMP/short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N"/>
    </sheetNames>
    <sheetDataSet>
      <sheetData sheetId="0">
        <row r="1">
          <cell r="A1" t="str">
            <v>Corn 1</v>
          </cell>
          <cell r="C1" t="str">
            <v>GRAIN CORN ENTERPRISE BUDGET</v>
          </cell>
          <cell r="G1" t="str">
            <v>Revised: May '98</v>
          </cell>
        </row>
        <row r="2">
          <cell r="A2">
            <v>502</v>
          </cell>
          <cell r="F2" t="str">
            <v>Profit Per Acre</v>
          </cell>
          <cell r="H2">
            <v>118.68321594062348</v>
          </cell>
        </row>
        <row r="3">
          <cell r="B3" t="str">
            <v>Number of Acres =</v>
          </cell>
          <cell r="D3">
            <v>1</v>
          </cell>
          <cell r="F3" t="str">
            <v xml:space="preserve">    1 t =</v>
          </cell>
          <cell r="G3">
            <v>39.368000000000002</v>
          </cell>
          <cell r="H3" t="str">
            <v>bu</v>
          </cell>
        </row>
        <row r="5">
          <cell r="A5" t="str">
            <v>=</v>
          </cell>
          <cell r="B5" t="str">
            <v>=</v>
          </cell>
          <cell r="C5" t="str">
            <v>=</v>
          </cell>
          <cell r="D5" t="str">
            <v>=</v>
          </cell>
          <cell r="E5" t="str">
            <v>=</v>
          </cell>
          <cell r="F5" t="str">
            <v>=</v>
          </cell>
          <cell r="G5" t="str">
            <v>=</v>
          </cell>
          <cell r="H5" t="str">
            <v>=</v>
          </cell>
        </row>
        <row r="6">
          <cell r="C6" t="str">
            <v xml:space="preserve">  Optimistic</v>
          </cell>
          <cell r="E6" t="str">
            <v xml:space="preserve">  Expected</v>
          </cell>
          <cell r="G6" t="str">
            <v xml:space="preserve"> Pessimistic</v>
          </cell>
        </row>
        <row r="7">
          <cell r="A7" t="str">
            <v>Yield - bu/ac</v>
          </cell>
          <cell r="C7">
            <v>150</v>
          </cell>
          <cell r="E7">
            <v>130</v>
          </cell>
          <cell r="G7">
            <v>90</v>
          </cell>
        </row>
        <row r="8">
          <cell r="A8" t="str">
            <v>Price - $/bu</v>
          </cell>
          <cell r="C8">
            <v>4.22</v>
          </cell>
          <cell r="E8">
            <v>3.44</v>
          </cell>
          <cell r="G8">
            <v>2.67</v>
          </cell>
        </row>
        <row r="9">
          <cell r="A9" t="str">
            <v>Production - bu</v>
          </cell>
          <cell r="C9">
            <v>150</v>
          </cell>
          <cell r="E9">
            <v>130</v>
          </cell>
          <cell r="G9">
            <v>90</v>
          </cell>
        </row>
        <row r="10">
          <cell r="A10" t="str">
            <v>=</v>
          </cell>
          <cell r="B10" t="str">
            <v>=</v>
          </cell>
          <cell r="C10" t="str">
            <v>=</v>
          </cell>
          <cell r="D10" t="str">
            <v>=</v>
          </cell>
          <cell r="E10" t="str">
            <v>=</v>
          </cell>
          <cell r="F10" t="str">
            <v>=</v>
          </cell>
          <cell r="G10" t="str">
            <v>=</v>
          </cell>
          <cell r="H10" t="str">
            <v>=</v>
          </cell>
        </row>
        <row r="11">
          <cell r="D11" t="str">
            <v>Insurance Evaluation</v>
          </cell>
        </row>
        <row r="12">
          <cell r="A12" t="str">
            <v>Market Revenue Ins.</v>
          </cell>
          <cell r="E12" t="str">
            <v xml:space="preserve">  Crop Insurance</v>
          </cell>
        </row>
        <row r="13">
          <cell r="A13" t="str">
            <v xml:space="preserve"> Premium/ac:</v>
          </cell>
          <cell r="D13">
            <v>13.349808004532308</v>
          </cell>
          <cell r="E13" t="str">
            <v xml:space="preserve">   C.I. Premium/ac:</v>
          </cell>
          <cell r="H13">
            <v>13.05</v>
          </cell>
          <cell r="K13">
            <v>40.453963650097904</v>
          </cell>
        </row>
        <row r="14">
          <cell r="A14" t="str">
            <v xml:space="preserve"> Guaranteed Price/bu</v>
          </cell>
          <cell r="D14">
            <v>3.444</v>
          </cell>
          <cell r="E14" t="str">
            <v xml:space="preserve">   Level of Coverage</v>
          </cell>
          <cell r="H14">
            <v>0.85</v>
          </cell>
          <cell r="K14">
            <v>56.488294452697446</v>
          </cell>
        </row>
        <row r="15">
          <cell r="A15" t="str">
            <v xml:space="preserve"> Probability of a payout</v>
          </cell>
          <cell r="D15">
            <v>0.50204663632757562</v>
          </cell>
          <cell r="E15" t="str">
            <v xml:space="preserve">   Guaranteed Yield/ac.</v>
          </cell>
          <cell r="H15">
            <v>110.5</v>
          </cell>
          <cell r="K15">
            <v>333.50507851207396</v>
          </cell>
        </row>
        <row r="16">
          <cell r="A16" t="str">
            <v xml:space="preserve"> Expected Payout/ac</v>
          </cell>
          <cell r="D16">
            <v>40.453963650097904</v>
          </cell>
          <cell r="E16" t="str">
            <v xml:space="preserve">   Probability of a payout</v>
          </cell>
          <cell r="H16">
            <v>0.25784759563400739</v>
          </cell>
          <cell r="K16">
            <v>51.5</v>
          </cell>
        </row>
        <row r="17">
          <cell r="D17">
            <v>0.50204663632757562</v>
          </cell>
          <cell r="E17" t="str">
            <v xml:space="preserve">   Expected Payout/ac</v>
          </cell>
          <cell r="H17">
            <v>16.034330802599538</v>
          </cell>
          <cell r="K17">
            <v>447.2</v>
          </cell>
        </row>
        <row r="18">
          <cell r="H18">
            <v>0.25784759563400739</v>
          </cell>
          <cell r="K18">
            <v>169.21989434511229</v>
          </cell>
        </row>
        <row r="19">
          <cell r="A19" t="str">
            <v>Participate in MRIP? (y/n)</v>
          </cell>
          <cell r="D19" t="str">
            <v>Yes</v>
          </cell>
          <cell r="E19" t="str">
            <v xml:space="preserve">  Participate in CI? (y/n)</v>
          </cell>
          <cell r="H19" t="str">
            <v>Yes</v>
          </cell>
          <cell r="K19">
            <v>3.3021743548059335</v>
          </cell>
        </row>
        <row r="20">
          <cell r="A20" t="str">
            <v>=</v>
          </cell>
          <cell r="B20" t="str">
            <v>=</v>
          </cell>
          <cell r="C20" t="str">
            <v>=</v>
          </cell>
          <cell r="D20" t="str">
            <v>=</v>
          </cell>
          <cell r="E20" t="str">
            <v>=</v>
          </cell>
          <cell r="F20" t="str">
            <v>=</v>
          </cell>
          <cell r="G20" t="str">
            <v>=</v>
          </cell>
          <cell r="H20" t="str">
            <v>=</v>
          </cell>
          <cell r="K20">
            <v>135.42592000000002</v>
          </cell>
        </row>
        <row r="21">
          <cell r="D21" t="str">
            <v>Unit/Ac</v>
          </cell>
          <cell r="E21" t="str">
            <v>Number</v>
          </cell>
          <cell r="F21" t="str">
            <v>Cost/Unit</v>
          </cell>
          <cell r="G21" t="str">
            <v>$/Acre</v>
          </cell>
          <cell r="H21" t="str">
            <v>$/Year</v>
          </cell>
          <cell r="K21" t="str">
            <v>Allo!C3..J14</v>
          </cell>
        </row>
        <row r="22">
          <cell r="A22" t="str">
            <v>Expenses</v>
          </cell>
          <cell r="D22" t="str">
            <v>-------</v>
          </cell>
          <cell r="E22" t="str">
            <v xml:space="preserve">  ------</v>
          </cell>
          <cell r="F22" t="str">
            <v>---------</v>
          </cell>
          <cell r="G22" t="str">
            <v xml:space="preserve">  ------</v>
          </cell>
          <cell r="H22" t="str">
            <v xml:space="preserve">  ------</v>
          </cell>
          <cell r="K22">
            <v>1</v>
          </cell>
        </row>
        <row r="23">
          <cell r="A23" t="str">
            <v>Variable Costs:</v>
          </cell>
          <cell r="K23">
            <v>47.1</v>
          </cell>
        </row>
        <row r="24">
          <cell r="A24" t="str">
            <v xml:space="preserve"> Seed </v>
          </cell>
          <cell r="D24" t="str">
            <v>M-kernel</v>
          </cell>
          <cell r="E24">
            <v>30</v>
          </cell>
          <cell r="F24">
            <v>1.57</v>
          </cell>
          <cell r="G24">
            <v>47.1</v>
          </cell>
          <cell r="H24">
            <v>47.1</v>
          </cell>
          <cell r="K24">
            <v>65.674000000000007</v>
          </cell>
        </row>
        <row r="25">
          <cell r="A25" t="str">
            <v xml:space="preserve"> Seed Treatment</v>
          </cell>
          <cell r="D25" t="str">
            <v>gm</v>
          </cell>
          <cell r="E25">
            <v>2.75</v>
          </cell>
          <cell r="F25">
            <v>0.55000000000000004</v>
          </cell>
          <cell r="G25">
            <v>1.5125000000000002</v>
          </cell>
          <cell r="H25">
            <v>1.5125000000000002</v>
          </cell>
          <cell r="K25">
            <v>45.032499999999999</v>
          </cell>
        </row>
        <row r="26">
          <cell r="A26" t="str">
            <v xml:space="preserve"> Fertilizer   #1</v>
          </cell>
          <cell r="C26" t="str">
            <v>11-52-0</v>
          </cell>
          <cell r="D26" t="str">
            <v>kg</v>
          </cell>
          <cell r="E26">
            <v>28</v>
          </cell>
          <cell r="F26">
            <v>0.44800000000000001</v>
          </cell>
          <cell r="G26">
            <v>12.544</v>
          </cell>
          <cell r="H26">
            <v>12.544</v>
          </cell>
          <cell r="K26">
            <v>90.409155698090515</v>
          </cell>
        </row>
        <row r="27">
          <cell r="A27" t="str">
            <v xml:space="preserve">              #2</v>
          </cell>
          <cell r="C27" t="str">
            <v>0-0-60</v>
          </cell>
          <cell r="D27" t="str">
            <v>kg</v>
          </cell>
          <cell r="E27">
            <v>32</v>
          </cell>
          <cell r="F27">
            <v>0.24</v>
          </cell>
          <cell r="G27">
            <v>7.68</v>
          </cell>
          <cell r="H27">
            <v>7.68</v>
          </cell>
          <cell r="K27">
            <v>1.3208697419223734</v>
          </cell>
        </row>
        <row r="28">
          <cell r="A28" t="str">
            <v xml:space="preserve">              #3</v>
          </cell>
          <cell r="C28" t="str">
            <v>28-0-0</v>
          </cell>
          <cell r="D28" t="str">
            <v>kg</v>
          </cell>
          <cell r="E28">
            <v>202</v>
          </cell>
          <cell r="F28">
            <v>0.22500000000000001</v>
          </cell>
          <cell r="G28">
            <v>45.45</v>
          </cell>
          <cell r="H28">
            <v>45.45</v>
          </cell>
          <cell r="K28">
            <v>0</v>
          </cell>
        </row>
        <row r="30">
          <cell r="D30" t="str">
            <v>Unit/Acre</v>
          </cell>
          <cell r="E30" t="str">
            <v>Number</v>
          </cell>
          <cell r="F30" t="str">
            <v>Cost/Unit</v>
          </cell>
          <cell r="G30" t="str">
            <v>$/Acre</v>
          </cell>
          <cell r="H30" t="str">
            <v>$/Year</v>
          </cell>
          <cell r="J30" t="str">
            <v>Grip prob factor (component of grip)</v>
          </cell>
          <cell r="K30">
            <v>0.99828299354838712</v>
          </cell>
        </row>
        <row r="31">
          <cell r="A31" t="str">
            <v xml:space="preserve"> Herbicide </v>
          </cell>
          <cell r="D31" t="str">
            <v>-------</v>
          </cell>
          <cell r="E31" t="str">
            <v xml:space="preserve">  ------</v>
          </cell>
          <cell r="F31" t="str">
            <v>---------</v>
          </cell>
          <cell r="G31" t="str">
            <v xml:space="preserve">  ------</v>
          </cell>
          <cell r="H31" t="str">
            <v xml:space="preserve">  ------</v>
          </cell>
        </row>
        <row r="32">
          <cell r="A32" t="str">
            <v xml:space="preserve">   Annual Grasses</v>
          </cell>
          <cell r="D32" t="str">
            <v>kg or l</v>
          </cell>
          <cell r="E32">
            <v>1</v>
          </cell>
          <cell r="F32">
            <v>20</v>
          </cell>
          <cell r="G32">
            <v>20</v>
          </cell>
          <cell r="H32">
            <v>20</v>
          </cell>
          <cell r="J32" t="str">
            <v>C.I. prob factor (component of Crop Insurance)</v>
          </cell>
          <cell r="K32">
            <v>1.2162355</v>
          </cell>
        </row>
        <row r="33">
          <cell r="A33" t="str">
            <v xml:space="preserve">   Broadleaf Herbicides</v>
          </cell>
          <cell r="D33" t="str">
            <v>kg or l</v>
          </cell>
          <cell r="E33">
            <v>0.3</v>
          </cell>
          <cell r="F33">
            <v>28</v>
          </cell>
          <cell r="G33">
            <v>8.4</v>
          </cell>
          <cell r="H33">
            <v>8.4</v>
          </cell>
          <cell r="K33">
            <v>13.05</v>
          </cell>
        </row>
        <row r="34">
          <cell r="A34" t="str">
            <v xml:space="preserve">   Other Herbicides</v>
          </cell>
          <cell r="D34" t="str">
            <v>kg or l</v>
          </cell>
          <cell r="E34">
            <v>0</v>
          </cell>
          <cell r="F34">
            <v>0</v>
          </cell>
          <cell r="G34">
            <v>0</v>
          </cell>
          <cell r="H34">
            <v>0</v>
          </cell>
          <cell r="K34">
            <v>26.399808004532311</v>
          </cell>
        </row>
        <row r="35">
          <cell r="A35" t="str">
            <v xml:space="preserve"> Insecticides</v>
          </cell>
          <cell r="D35" t="str">
            <v>kg or l</v>
          </cell>
          <cell r="E35">
            <v>2.8</v>
          </cell>
          <cell r="F35">
            <v>5.4</v>
          </cell>
          <cell r="G35">
            <v>15.12</v>
          </cell>
          <cell r="H35">
            <v>15.12</v>
          </cell>
        </row>
        <row r="36">
          <cell r="A36" t="str">
            <v xml:space="preserve"> Fungicides</v>
          </cell>
          <cell r="D36" t="str">
            <v>kg or l</v>
          </cell>
          <cell r="E36">
            <v>0</v>
          </cell>
          <cell r="F36">
            <v>0</v>
          </cell>
          <cell r="G36">
            <v>0</v>
          </cell>
          <cell r="H36">
            <v>0</v>
          </cell>
        </row>
        <row r="37">
          <cell r="A37" t="str">
            <v xml:space="preserve"> Crop Insurance</v>
          </cell>
          <cell r="D37" t="str">
            <v>Insurance</v>
          </cell>
          <cell r="E37">
            <v>1</v>
          </cell>
          <cell r="F37">
            <v>13.05</v>
          </cell>
          <cell r="G37">
            <v>13.05</v>
          </cell>
          <cell r="H37">
            <v>13.05</v>
          </cell>
        </row>
        <row r="38">
          <cell r="A38" t="str">
            <v xml:space="preserve"> Market Revenue Insurance</v>
          </cell>
          <cell r="D38" t="str">
            <v>Insurance</v>
          </cell>
          <cell r="E38">
            <v>1</v>
          </cell>
          <cell r="F38">
            <v>13.349808004532308</v>
          </cell>
          <cell r="G38">
            <v>13.349808004532308</v>
          </cell>
          <cell r="H38">
            <v>13.349808004532308</v>
          </cell>
        </row>
        <row r="39">
          <cell r="A39" t="str">
            <v xml:space="preserve"> Custom Work  #1</v>
          </cell>
          <cell r="C39" t="str">
            <v xml:space="preserve">     Combine</v>
          </cell>
          <cell r="E39">
            <v>0</v>
          </cell>
          <cell r="F39">
            <v>31</v>
          </cell>
          <cell r="G39">
            <v>0</v>
          </cell>
          <cell r="H39">
            <v>0</v>
          </cell>
        </row>
        <row r="40">
          <cell r="A40" t="str">
            <v xml:space="preserve">              #2</v>
          </cell>
          <cell r="C40" t="str">
            <v xml:space="preserve">     Nitr. Applic.</v>
          </cell>
          <cell r="E40">
            <v>0</v>
          </cell>
          <cell r="F40">
            <v>8</v>
          </cell>
          <cell r="G40">
            <v>0</v>
          </cell>
          <cell r="H40">
            <v>0</v>
          </cell>
        </row>
        <row r="41">
          <cell r="A41" t="str">
            <v xml:space="preserve"> Drying 8 Points</v>
          </cell>
          <cell r="D41" t="str">
            <v>tonnes</v>
          </cell>
          <cell r="E41">
            <v>3.632391790286527</v>
          </cell>
          <cell r="F41">
            <v>11.84</v>
          </cell>
          <cell r="G41">
            <v>43.007518796992478</v>
          </cell>
          <cell r="H41">
            <v>43.007518796992478</v>
          </cell>
        </row>
        <row r="42">
          <cell r="A42" t="str">
            <v xml:space="preserve"> Storage</v>
          </cell>
          <cell r="D42" t="str">
            <v>tonnes</v>
          </cell>
          <cell r="E42">
            <v>0</v>
          </cell>
          <cell r="F42">
            <v>0</v>
          </cell>
          <cell r="G42">
            <v>0</v>
          </cell>
          <cell r="H42">
            <v>0</v>
          </cell>
        </row>
        <row r="43">
          <cell r="A43" t="str">
            <v xml:space="preserve"> Trucking</v>
          </cell>
          <cell r="D43" t="str">
            <v>tonnes</v>
          </cell>
          <cell r="E43">
            <v>3.3021743548059335</v>
          </cell>
          <cell r="F43">
            <v>6.36</v>
          </cell>
          <cell r="G43">
            <v>21.001828896565737</v>
          </cell>
          <cell r="H43">
            <v>21.001828896565737</v>
          </cell>
        </row>
        <row r="44">
          <cell r="A44" t="str">
            <v xml:space="preserve"> Marketing Fees</v>
          </cell>
          <cell r="D44" t="str">
            <v>tonnes</v>
          </cell>
          <cell r="E44">
            <v>3.3021743548059335</v>
          </cell>
          <cell r="F44">
            <v>0.4</v>
          </cell>
          <cell r="G44">
            <v>1.3208697419223734</v>
          </cell>
          <cell r="H44">
            <v>1.3208697419223734</v>
          </cell>
        </row>
        <row r="45">
          <cell r="A45" t="str">
            <v xml:space="preserve"> Other</v>
          </cell>
          <cell r="D45" t="str">
            <v xml:space="preserve"> </v>
          </cell>
          <cell r="E45">
            <v>0</v>
          </cell>
          <cell r="F45">
            <v>0</v>
          </cell>
          <cell r="G45">
            <v>0</v>
          </cell>
          <cell r="H45">
            <v>0</v>
          </cell>
        </row>
        <row r="49">
          <cell r="K49" t="str">
            <v>Wfarm!L4</v>
          </cell>
        </row>
        <row r="50">
          <cell r="K50" t="str">
            <v>Wfarm!L5</v>
          </cell>
        </row>
        <row r="51">
          <cell r="D51" t="str">
            <v>Typical</v>
          </cell>
          <cell r="E51" t="str">
            <v xml:space="preserve"> Enterprise</v>
          </cell>
          <cell r="K51" t="str">
            <v>Wfarm!L6</v>
          </cell>
        </row>
        <row r="52">
          <cell r="D52" t="str">
            <v xml:space="preserve"> $/Acre</v>
          </cell>
          <cell r="E52" t="str">
            <v xml:space="preserve"> $ Allocated</v>
          </cell>
          <cell r="G52" t="str">
            <v>$/Acre</v>
          </cell>
          <cell r="H52" t="str">
            <v>$/Year</v>
          </cell>
          <cell r="K52" t="str">
            <v>Wfarm!L7</v>
          </cell>
        </row>
        <row r="53">
          <cell r="A53" t="str">
            <v xml:space="preserve"> Fuel</v>
          </cell>
          <cell r="D53">
            <v>14</v>
          </cell>
          <cell r="E53">
            <v>0</v>
          </cell>
          <cell r="G53">
            <v>14</v>
          </cell>
          <cell r="H53">
            <v>14</v>
          </cell>
          <cell r="K53" t="str">
            <v>Wfarm!L8</v>
          </cell>
        </row>
        <row r="54">
          <cell r="A54" t="str">
            <v xml:space="preserve"> Mach. Repair &amp; Maint.</v>
          </cell>
          <cell r="D54">
            <v>19</v>
          </cell>
          <cell r="E54">
            <v>0</v>
          </cell>
          <cell r="G54">
            <v>19</v>
          </cell>
          <cell r="H54">
            <v>19</v>
          </cell>
        </row>
        <row r="55">
          <cell r="A55" t="str">
            <v xml:space="preserve"> Bldg. Repair &amp; Maint.</v>
          </cell>
          <cell r="D55">
            <v>8</v>
          </cell>
          <cell r="E55">
            <v>0</v>
          </cell>
          <cell r="G55">
            <v>8</v>
          </cell>
          <cell r="H55">
            <v>8</v>
          </cell>
        </row>
        <row r="56">
          <cell r="A56" t="str">
            <v xml:space="preserve"> Rent and Labour</v>
          </cell>
          <cell r="D56">
            <v>16</v>
          </cell>
          <cell r="E56">
            <v>0</v>
          </cell>
          <cell r="G56">
            <v>16</v>
          </cell>
          <cell r="H56">
            <v>16</v>
          </cell>
        </row>
        <row r="57">
          <cell r="A57" t="str">
            <v xml:space="preserve"> General Variable Costs</v>
          </cell>
          <cell r="D57">
            <v>15</v>
          </cell>
          <cell r="E57">
            <v>0</v>
          </cell>
          <cell r="G57">
            <v>15</v>
          </cell>
          <cell r="H57">
            <v>15</v>
          </cell>
          <cell r="J57">
            <v>11.968553072060994</v>
          </cell>
          <cell r="K57" t="str">
            <v>Wfarm!L9</v>
          </cell>
        </row>
        <row r="58">
          <cell r="A58" t="str">
            <v xml:space="preserve"> Interest on</v>
          </cell>
          <cell r="C58" t="str">
            <v>%int</v>
          </cell>
          <cell r="D58" t="str">
            <v>%year</v>
          </cell>
        </row>
        <row r="59">
          <cell r="A59" t="str">
            <v xml:space="preserve"> Operating Capital</v>
          </cell>
          <cell r="C59">
            <v>8</v>
          </cell>
          <cell r="D59">
            <v>50</v>
          </cell>
          <cell r="E59">
            <v>0</v>
          </cell>
          <cell r="G59">
            <v>11.968553072060994</v>
          </cell>
          <cell r="H59">
            <v>11.968553072060994</v>
          </cell>
        </row>
        <row r="60">
          <cell r="G60" t="str">
            <v xml:space="preserve">  ------</v>
          </cell>
          <cell r="H60" t="str">
            <v xml:space="preserve">  ------</v>
          </cell>
        </row>
        <row r="61">
          <cell r="A61" t="str">
            <v>Total Variable Costs</v>
          </cell>
          <cell r="G61">
            <v>333.50507851207396</v>
          </cell>
          <cell r="H61">
            <v>333.50507851207396</v>
          </cell>
        </row>
        <row r="63">
          <cell r="D63" t="str">
            <v>Typical</v>
          </cell>
          <cell r="E63" t="str">
            <v xml:space="preserve"> Enterprise</v>
          </cell>
          <cell r="K63" t="str">
            <v>Wfarm!K4</v>
          </cell>
        </row>
        <row r="64">
          <cell r="A64" t="str">
            <v>Fixed Costs:</v>
          </cell>
          <cell r="D64" t="str">
            <v xml:space="preserve"> $/Acre</v>
          </cell>
          <cell r="E64" t="str">
            <v xml:space="preserve"> $ Allocated</v>
          </cell>
          <cell r="G64" t="str">
            <v>$/Acre</v>
          </cell>
          <cell r="H64" t="str">
            <v>$/Year</v>
          </cell>
          <cell r="K64" t="str">
            <v>Wfarm!K5</v>
          </cell>
        </row>
        <row r="65">
          <cell r="A65" t="str">
            <v xml:space="preserve"> Depreciation</v>
          </cell>
          <cell r="D65">
            <v>29</v>
          </cell>
          <cell r="E65">
            <v>0</v>
          </cell>
          <cell r="G65">
            <v>29</v>
          </cell>
          <cell r="H65">
            <v>29</v>
          </cell>
          <cell r="K65" t="str">
            <v>Wfarm!K6</v>
          </cell>
        </row>
        <row r="66">
          <cell r="A66" t="str">
            <v xml:space="preserve"> Interest on Term Loans</v>
          </cell>
          <cell r="D66">
            <v>17.5</v>
          </cell>
          <cell r="E66">
            <v>0</v>
          </cell>
          <cell r="G66">
            <v>17.5</v>
          </cell>
          <cell r="H66">
            <v>17.5</v>
          </cell>
          <cell r="K66" t="str">
            <v>Wfarm!K7</v>
          </cell>
        </row>
        <row r="67">
          <cell r="A67" t="str">
            <v xml:space="preserve"> Long-term Leases</v>
          </cell>
          <cell r="D67">
            <v>0</v>
          </cell>
          <cell r="E67">
            <v>0</v>
          </cell>
          <cell r="G67">
            <v>0</v>
          </cell>
          <cell r="H67">
            <v>0</v>
          </cell>
        </row>
        <row r="68">
          <cell r="A68" t="str">
            <v xml:space="preserve"> General Fixed Costs</v>
          </cell>
          <cell r="D68">
            <v>5</v>
          </cell>
          <cell r="E68">
            <v>0</v>
          </cell>
          <cell r="G68">
            <v>5</v>
          </cell>
          <cell r="H68">
            <v>5</v>
          </cell>
        </row>
        <row r="69">
          <cell r="G69" t="str">
            <v xml:space="preserve">  ------</v>
          </cell>
          <cell r="H69" t="str">
            <v xml:space="preserve">  ------</v>
          </cell>
        </row>
        <row r="70">
          <cell r="A70" t="str">
            <v>Total Fixed Costs</v>
          </cell>
          <cell r="G70">
            <v>51.5</v>
          </cell>
          <cell r="H70">
            <v>51.5</v>
          </cell>
        </row>
        <row r="72">
          <cell r="A72" t="str">
            <v>Revenues:</v>
          </cell>
          <cell r="E72" t="str">
            <v>$/Acre</v>
          </cell>
          <cell r="F72" t="str">
            <v>$/Year</v>
          </cell>
        </row>
        <row r="73">
          <cell r="A73" t="str">
            <v>Total Expected Revenues</v>
          </cell>
          <cell r="E73">
            <v>447.2</v>
          </cell>
          <cell r="F73">
            <v>447.2</v>
          </cell>
        </row>
        <row r="74">
          <cell r="A74" t="str">
            <v xml:space="preserve">    add: Expected Insurance Revenues</v>
          </cell>
          <cell r="E74">
            <v>56.488294452697446</v>
          </cell>
          <cell r="F74">
            <v>56.488294452697446</v>
          </cell>
        </row>
        <row r="75">
          <cell r="A75" t="str">
            <v xml:space="preserve">    less: Variable Costs</v>
          </cell>
          <cell r="E75">
            <v>333.50507851207396</v>
          </cell>
          <cell r="F75">
            <v>333.50507851207396</v>
          </cell>
        </row>
        <row r="76">
          <cell r="E76" t="str">
            <v xml:space="preserve">  ------</v>
          </cell>
          <cell r="F76" t="str">
            <v xml:space="preserve">  ------</v>
          </cell>
        </row>
        <row r="77">
          <cell r="A77" t="str">
            <v>Expected Operating Margin</v>
          </cell>
          <cell r="E77">
            <v>170.18321594062348</v>
          </cell>
          <cell r="F77">
            <v>170.18321594062348</v>
          </cell>
        </row>
        <row r="78">
          <cell r="A78" t="str">
            <v xml:space="preserve">    less: Fixed Costs</v>
          </cell>
          <cell r="E78">
            <v>51.5</v>
          </cell>
          <cell r="F78">
            <v>51.5</v>
          </cell>
        </row>
        <row r="79">
          <cell r="E79" t="str">
            <v xml:space="preserve">  ------</v>
          </cell>
          <cell r="F79" t="str">
            <v xml:space="preserve">  ------</v>
          </cell>
        </row>
        <row r="80">
          <cell r="A80" t="str">
            <v>Expected Net Revenue</v>
          </cell>
          <cell r="E80">
            <v>118.68321594062348</v>
          </cell>
          <cell r="F80">
            <v>118.68321594062348</v>
          </cell>
        </row>
        <row r="82">
          <cell r="A82" t="str">
            <v xml:space="preserve">         Break-even $/bu to cover:</v>
          </cell>
          <cell r="E82" t="str">
            <v>Variable Costs</v>
          </cell>
          <cell r="G82">
            <v>2.5654236808621076</v>
          </cell>
        </row>
        <row r="83">
          <cell r="E83" t="str">
            <v>Fixed Costs</v>
          </cell>
          <cell r="G83">
            <v>0.39615384615384613</v>
          </cell>
        </row>
        <row r="84">
          <cell r="G84" t="str">
            <v xml:space="preserve">  ------</v>
          </cell>
        </row>
        <row r="85">
          <cell r="E85" t="str">
            <v>Total Costs</v>
          </cell>
          <cell r="G85">
            <v>2.9615775270159537</v>
          </cell>
        </row>
        <row r="86">
          <cell r="A86" t="str">
            <v>=</v>
          </cell>
          <cell r="B86" t="str">
            <v>=</v>
          </cell>
          <cell r="C86" t="str">
            <v>=</v>
          </cell>
          <cell r="D86" t="str">
            <v>=</v>
          </cell>
          <cell r="E86" t="str">
            <v>=</v>
          </cell>
          <cell r="F86" t="str">
            <v>=</v>
          </cell>
          <cell r="G86" t="str">
            <v>=</v>
          </cell>
          <cell r="H86" t="str">
            <v>=</v>
          </cell>
        </row>
        <row r="87">
          <cell r="B87" t="str">
            <v>Chance of at least breaking even          ==&gt;</v>
          </cell>
          <cell r="G87">
            <v>0.75845931926053156</v>
          </cell>
        </row>
        <row r="88">
          <cell r="B88" t="str">
            <v>Chance of at least</v>
          </cell>
          <cell r="D88">
            <v>0</v>
          </cell>
          <cell r="E88" t="str">
            <v>$/acre return  ==&gt;</v>
          </cell>
          <cell r="G88">
            <v>0.75845931926053156</v>
          </cell>
          <cell r="I88">
            <v>118.68321594062348</v>
          </cell>
        </row>
        <row r="89">
          <cell r="B89" t="str">
            <v>Coefficient of variation                  ==&gt;</v>
          </cell>
          <cell r="G89">
            <v>0.37839869039604718</v>
          </cell>
          <cell r="I89">
            <v>45.173092999999994</v>
          </cell>
        </row>
        <row r="90">
          <cell r="H90" t="str">
            <v>mn</v>
          </cell>
          <cell r="I90">
            <v>0.48675626999999977</v>
          </cell>
        </row>
        <row r="91">
          <cell r="C91" t="str">
            <v>Returns $/acre</v>
          </cell>
          <cell r="E91" t="str">
            <v>Chances of at least</v>
          </cell>
          <cell r="H91" t="str">
            <v>ystd</v>
          </cell>
          <cell r="I91">
            <v>169.21989434511229</v>
          </cell>
        </row>
        <row r="92">
          <cell r="E92" t="str">
            <v>this return per acre</v>
          </cell>
          <cell r="H92" t="str">
            <v>pstd</v>
          </cell>
        </row>
        <row r="93">
          <cell r="C93">
            <v>282.82651345538238</v>
          </cell>
          <cell r="E93" t="str">
            <v xml:space="preserve">       17 %</v>
          </cell>
          <cell r="I93">
            <v>0.70135498193006351</v>
          </cell>
          <cell r="J93">
            <v>0.70135498193006351</v>
          </cell>
        </row>
        <row r="94">
          <cell r="C94">
            <v>191.44777050902178</v>
          </cell>
          <cell r="E94" t="str">
            <v xml:space="preserve">       33 %</v>
          </cell>
          <cell r="H94" t="str">
            <v>z</v>
          </cell>
          <cell r="I94">
            <v>0.86024228508355027</v>
          </cell>
          <cell r="J94">
            <v>0.86024228508355027</v>
          </cell>
        </row>
        <row r="95">
          <cell r="C95">
            <v>118.68321594062348</v>
          </cell>
          <cell r="E95" t="str">
            <v xml:space="preserve">       50 %</v>
          </cell>
          <cell r="H95" t="str">
            <v>v1</v>
          </cell>
          <cell r="I95">
            <v>0.31195761896705337</v>
          </cell>
          <cell r="J95">
            <v>0.31195761896705337</v>
          </cell>
        </row>
        <row r="96">
          <cell r="C96">
            <v>45.918661372225202</v>
          </cell>
          <cell r="E96" t="str">
            <v xml:space="preserve">       67 %</v>
          </cell>
          <cell r="H96" t="str">
            <v>v2</v>
          </cell>
          <cell r="I96">
            <v>0.24154068073946844</v>
          </cell>
          <cell r="J96">
            <v>0.24154068073946844</v>
          </cell>
        </row>
        <row r="97">
          <cell r="C97">
            <v>-45.460081574135444</v>
          </cell>
          <cell r="E97" t="str">
            <v xml:space="preserve">       83 %</v>
          </cell>
          <cell r="H97" t="str">
            <v>p(vx)</v>
          </cell>
        </row>
        <row r="98">
          <cell r="H98" t="str">
            <v/>
          </cell>
        </row>
        <row r="99">
          <cell r="E99" t="str">
            <v>- End of Budget -</v>
          </cell>
        </row>
        <row r="100">
          <cell r="A100" t="str">
            <v>=</v>
          </cell>
          <cell r="B100" t="str">
            <v>=</v>
          </cell>
          <cell r="C100" t="str">
            <v>=</v>
          </cell>
          <cell r="D100" t="str">
            <v>=</v>
          </cell>
          <cell r="E100" t="str">
            <v>=</v>
          </cell>
          <cell r="F100" t="str">
            <v>=</v>
          </cell>
          <cell r="G100" t="str">
            <v>=</v>
          </cell>
          <cell r="H100" t="str">
            <v>=</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LAGE"/>
    </sheetNames>
    <sheetDataSet>
      <sheetData sheetId="0">
        <row r="1">
          <cell r="A1" t="str">
            <v>Silage 1</v>
          </cell>
          <cell r="C1" t="str">
            <v>CORN SILAGE ENTERPRISE BUDGET</v>
          </cell>
          <cell r="G1" t="str">
            <v>Revised: May '98</v>
          </cell>
        </row>
        <row r="2">
          <cell r="A2">
            <v>701</v>
          </cell>
          <cell r="F2" t="str">
            <v>Profit Per Acre</v>
          </cell>
          <cell r="H2" t="e">
            <v>#REF!</v>
          </cell>
        </row>
        <row r="3">
          <cell r="B3" t="str">
            <v>Number of Acres =</v>
          </cell>
          <cell r="D3">
            <v>1</v>
          </cell>
          <cell r="F3" t="str">
            <v>1 tonne =</v>
          </cell>
          <cell r="G3">
            <v>1.1023000000000001</v>
          </cell>
          <cell r="H3" t="str">
            <v>ton</v>
          </cell>
        </row>
        <row r="5">
          <cell r="A5" t="str">
            <v>=</v>
          </cell>
          <cell r="B5" t="str">
            <v>=</v>
          </cell>
          <cell r="C5" t="str">
            <v>=</v>
          </cell>
          <cell r="D5" t="str">
            <v>=</v>
          </cell>
          <cell r="E5" t="str">
            <v>=</v>
          </cell>
          <cell r="F5" t="str">
            <v>=</v>
          </cell>
          <cell r="G5" t="str">
            <v>=</v>
          </cell>
          <cell r="H5" t="str">
            <v>=</v>
          </cell>
        </row>
        <row r="6">
          <cell r="C6" t="str">
            <v xml:space="preserve">  Optimistic</v>
          </cell>
          <cell r="E6" t="str">
            <v xml:space="preserve">  Expected</v>
          </cell>
          <cell r="G6" t="str">
            <v xml:space="preserve"> Pessimistic</v>
          </cell>
        </row>
        <row r="7">
          <cell r="A7" t="str">
            <v>Yield - tonne/acre</v>
          </cell>
          <cell r="C7">
            <v>16</v>
          </cell>
          <cell r="E7">
            <v>12.5</v>
          </cell>
          <cell r="G7">
            <v>11.4</v>
          </cell>
        </row>
        <row r="8">
          <cell r="A8" t="str">
            <v>Price - $/tonne</v>
          </cell>
          <cell r="C8">
            <v>27.83</v>
          </cell>
          <cell r="E8">
            <v>26.25</v>
          </cell>
          <cell r="G8">
            <v>25.3</v>
          </cell>
        </row>
        <row r="9">
          <cell r="A9" t="str">
            <v>Production - tonne</v>
          </cell>
          <cell r="C9">
            <v>16</v>
          </cell>
          <cell r="E9">
            <v>12.5</v>
          </cell>
          <cell r="G9">
            <v>11.4</v>
          </cell>
        </row>
        <row r="10">
          <cell r="A10" t="str">
            <v>=</v>
          </cell>
          <cell r="B10" t="str">
            <v>=</v>
          </cell>
          <cell r="C10" t="str">
            <v>=</v>
          </cell>
          <cell r="D10" t="str">
            <v>=</v>
          </cell>
          <cell r="E10" t="str">
            <v>=</v>
          </cell>
          <cell r="F10" t="str">
            <v>=</v>
          </cell>
          <cell r="G10" t="str">
            <v>=</v>
          </cell>
          <cell r="H10" t="str">
            <v>=</v>
          </cell>
        </row>
        <row r="11">
          <cell r="D11" t="str">
            <v>Insurance Evaluation</v>
          </cell>
        </row>
        <row r="12">
          <cell r="A12" t="str">
            <v>Market Revenue Ins.</v>
          </cell>
          <cell r="E12" t="str">
            <v xml:space="preserve">  Crop Insurance</v>
          </cell>
        </row>
        <row r="13">
          <cell r="A13" t="str">
            <v xml:space="preserve"> Premium/ac:</v>
          </cell>
          <cell r="D13">
            <v>8.2984428221555915E-3</v>
          </cell>
          <cell r="E13" t="str">
            <v xml:space="preserve">   C.I. Premium/ac:</v>
          </cell>
          <cell r="H13">
            <v>13.05</v>
          </cell>
          <cell r="K13">
            <v>2.5146796430774519E-2</v>
          </cell>
        </row>
        <row r="14">
          <cell r="A14" t="str">
            <v xml:space="preserve"> Guaranteed Price/bu</v>
          </cell>
          <cell r="D14">
            <v>23</v>
          </cell>
          <cell r="E14" t="str">
            <v xml:space="preserve">   Level of Coverage</v>
          </cell>
          <cell r="H14">
            <v>0.85</v>
          </cell>
          <cell r="K14">
            <v>7.0902625625642628</v>
          </cell>
        </row>
        <row r="15">
          <cell r="A15" t="str">
            <v xml:space="preserve"> Probability of a payout</v>
          </cell>
          <cell r="D15">
            <v>5.1064266261023235E-3</v>
          </cell>
          <cell r="E15" t="str">
            <v xml:space="preserve">   Guaranteed Yield/ac.</v>
          </cell>
          <cell r="H15">
            <v>10.625</v>
          </cell>
          <cell r="K15" t="e">
            <v>#REF!</v>
          </cell>
        </row>
        <row r="16">
          <cell r="A16" t="str">
            <v xml:space="preserve"> Expected Payout/ac</v>
          </cell>
          <cell r="D16">
            <v>2.5146796430774519E-2</v>
          </cell>
          <cell r="E16" t="str">
            <v xml:space="preserve">   Probability of a payout</v>
          </cell>
          <cell r="H16">
            <v>0.20746928326941261</v>
          </cell>
          <cell r="K16" t="e">
            <v>#REF!</v>
          </cell>
        </row>
        <row r="17">
          <cell r="D17">
            <v>5.1064266261023235E-3</v>
          </cell>
          <cell r="E17" t="str">
            <v xml:space="preserve">   Expected Payout/ac</v>
          </cell>
          <cell r="H17">
            <v>7.0651157661334887</v>
          </cell>
          <cell r="K17">
            <v>328.125</v>
          </cell>
        </row>
        <row r="18">
          <cell r="H18">
            <v>0.20746928326941261</v>
          </cell>
          <cell r="K18">
            <v>101.04864041674843</v>
          </cell>
        </row>
        <row r="19">
          <cell r="A19" t="str">
            <v>Participate in MRIP? (y/n)</v>
          </cell>
          <cell r="D19" t="str">
            <v>Yes</v>
          </cell>
          <cell r="E19" t="str">
            <v xml:space="preserve">  Participate in CI? (y/n)</v>
          </cell>
          <cell r="H19" t="str">
            <v>Yes</v>
          </cell>
          <cell r="K19">
            <v>12.5</v>
          </cell>
        </row>
        <row r="20">
          <cell r="A20" t="str">
            <v>=</v>
          </cell>
          <cell r="B20" t="str">
            <v>=</v>
          </cell>
          <cell r="C20" t="str">
            <v>=</v>
          </cell>
          <cell r="D20" t="str">
            <v>=</v>
          </cell>
          <cell r="E20" t="str">
            <v>=</v>
          </cell>
          <cell r="F20" t="str">
            <v>=</v>
          </cell>
          <cell r="G20" t="str">
            <v>=</v>
          </cell>
          <cell r="H20" t="str">
            <v>=</v>
          </cell>
          <cell r="K20">
            <v>26.25</v>
          </cell>
        </row>
        <row r="21">
          <cell r="D21" t="str">
            <v>Unit/Ac</v>
          </cell>
          <cell r="E21" t="str">
            <v>Number</v>
          </cell>
          <cell r="F21" t="str">
            <v>Cost/Unit</v>
          </cell>
          <cell r="G21" t="str">
            <v>$/Acre</v>
          </cell>
          <cell r="H21" t="str">
            <v>$/Year</v>
          </cell>
          <cell r="K21" t="str">
            <v>Allo!C3..J14</v>
          </cell>
        </row>
        <row r="22">
          <cell r="A22" t="str">
            <v>Expenses</v>
          </cell>
          <cell r="D22" t="str">
            <v>-------</v>
          </cell>
          <cell r="E22" t="str">
            <v xml:space="preserve">  ------</v>
          </cell>
          <cell r="F22" t="str">
            <v>-</v>
          </cell>
          <cell r="G22" t="str">
            <v xml:space="preserve">  -------</v>
          </cell>
          <cell r="H22" t="str">
            <v xml:space="preserve">  -------</v>
          </cell>
          <cell r="K22">
            <v>1</v>
          </cell>
        </row>
        <row r="23">
          <cell r="A23" t="str">
            <v>Variable Costs:</v>
          </cell>
          <cell r="K23">
            <v>35.339999999999996</v>
          </cell>
        </row>
        <row r="24">
          <cell r="A24" t="str">
            <v xml:space="preserve"> Seed </v>
          </cell>
          <cell r="D24" t="str">
            <v>M-kernel</v>
          </cell>
          <cell r="E24">
            <v>31</v>
          </cell>
          <cell r="F24">
            <v>1.1399999999999999</v>
          </cell>
          <cell r="G24">
            <v>35.339999999999996</v>
          </cell>
          <cell r="H24">
            <v>35.339999999999996</v>
          </cell>
          <cell r="K24">
            <v>65.674000000000007</v>
          </cell>
        </row>
        <row r="25">
          <cell r="A25" t="str">
            <v xml:space="preserve"> Seed Treatment</v>
          </cell>
          <cell r="D25" t="str">
            <v>gm</v>
          </cell>
          <cell r="E25">
            <v>2.75</v>
          </cell>
          <cell r="F25">
            <v>0.55000000000000004</v>
          </cell>
          <cell r="G25">
            <v>1.5125000000000002</v>
          </cell>
          <cell r="H25">
            <v>1.5125000000000002</v>
          </cell>
          <cell r="K25">
            <v>45.032499999999999</v>
          </cell>
        </row>
        <row r="26">
          <cell r="K26">
            <v>13.058298442822156</v>
          </cell>
        </row>
        <row r="27">
          <cell r="A27" t="str">
            <v xml:space="preserve"> Fertilizer   #1</v>
          </cell>
          <cell r="C27" t="str">
            <v>11-52-0</v>
          </cell>
          <cell r="D27" t="str">
            <v>kg</v>
          </cell>
          <cell r="E27">
            <v>28</v>
          </cell>
          <cell r="F27">
            <v>0.44800000000000001</v>
          </cell>
          <cell r="G27">
            <v>12.544</v>
          </cell>
          <cell r="H27">
            <v>12.544</v>
          </cell>
          <cell r="K27">
            <v>0</v>
          </cell>
        </row>
        <row r="28">
          <cell r="A28" t="str">
            <v xml:space="preserve">              #2</v>
          </cell>
          <cell r="C28" t="str">
            <v>0-0-60</v>
          </cell>
          <cell r="D28" t="str">
            <v>kg</v>
          </cell>
          <cell r="E28">
            <v>32</v>
          </cell>
          <cell r="F28">
            <v>0.24</v>
          </cell>
          <cell r="G28">
            <v>7.68</v>
          </cell>
          <cell r="H28">
            <v>7.68</v>
          </cell>
          <cell r="K28">
            <v>0</v>
          </cell>
        </row>
        <row r="29">
          <cell r="A29" t="str">
            <v xml:space="preserve">              #3</v>
          </cell>
          <cell r="C29" t="str">
            <v>28-0-0</v>
          </cell>
          <cell r="D29" t="str">
            <v>kg</v>
          </cell>
          <cell r="E29">
            <v>202</v>
          </cell>
          <cell r="F29">
            <v>0.22500000000000001</v>
          </cell>
          <cell r="G29">
            <v>45.45</v>
          </cell>
          <cell r="H29">
            <v>45.45</v>
          </cell>
        </row>
        <row r="30">
          <cell r="J30" t="str">
            <v>Grip prob factor (component of grip)</v>
          </cell>
          <cell r="K30">
            <v>1.8546857707509892</v>
          </cell>
        </row>
        <row r="31">
          <cell r="D31" t="str">
            <v>Unit/Ac</v>
          </cell>
          <cell r="E31" t="str">
            <v>Number</v>
          </cell>
          <cell r="F31" t="str">
            <v>Cost/Unit</v>
          </cell>
          <cell r="G31" t="str">
            <v>$/Acre</v>
          </cell>
          <cell r="H31" t="str">
            <v>$/Year</v>
          </cell>
          <cell r="J31" t="str">
            <v>C.I. prob factor (component of Crop Insurance)</v>
          </cell>
          <cell r="K31">
            <v>1.2711983695652174</v>
          </cell>
        </row>
        <row r="32">
          <cell r="A32" t="str">
            <v xml:space="preserve"> Herbicide </v>
          </cell>
          <cell r="D32" t="str">
            <v>-------</v>
          </cell>
          <cell r="E32" t="str">
            <v xml:space="preserve">  ------</v>
          </cell>
          <cell r="F32" t="str">
            <v>-</v>
          </cell>
          <cell r="G32" t="str">
            <v xml:space="preserve">  -------</v>
          </cell>
          <cell r="H32" t="str">
            <v xml:space="preserve">  -------</v>
          </cell>
        </row>
        <row r="33">
          <cell r="A33" t="str">
            <v xml:space="preserve">   Annual Grasses</v>
          </cell>
          <cell r="D33" t="str">
            <v>kg or l</v>
          </cell>
          <cell r="E33">
            <v>1</v>
          </cell>
          <cell r="F33">
            <v>20</v>
          </cell>
          <cell r="G33">
            <v>20</v>
          </cell>
          <cell r="H33">
            <v>20</v>
          </cell>
          <cell r="K33">
            <v>13.05</v>
          </cell>
        </row>
        <row r="34">
          <cell r="A34" t="str">
            <v xml:space="preserve">   Broadleaf Herbicides</v>
          </cell>
          <cell r="D34" t="str">
            <v>kg or l</v>
          </cell>
          <cell r="E34">
            <v>0.3</v>
          </cell>
          <cell r="F34">
            <v>28</v>
          </cell>
          <cell r="G34">
            <v>8.4</v>
          </cell>
          <cell r="H34">
            <v>8.4</v>
          </cell>
          <cell r="K34">
            <v>13.058298442822156</v>
          </cell>
        </row>
        <row r="35">
          <cell r="A35" t="str">
            <v xml:space="preserve">   Other Herbicides</v>
          </cell>
          <cell r="D35" t="str">
            <v>kg or l</v>
          </cell>
          <cell r="E35">
            <v>0</v>
          </cell>
          <cell r="F35">
            <v>0</v>
          </cell>
          <cell r="G35">
            <v>0</v>
          </cell>
          <cell r="H35">
            <v>0</v>
          </cell>
        </row>
        <row r="36">
          <cell r="A36" t="str">
            <v xml:space="preserve"> Insecticides</v>
          </cell>
          <cell r="D36" t="str">
            <v>kg or l</v>
          </cell>
          <cell r="E36">
            <v>2.8</v>
          </cell>
          <cell r="F36">
            <v>5.4</v>
          </cell>
          <cell r="G36">
            <v>15.12</v>
          </cell>
          <cell r="H36">
            <v>15.12</v>
          </cell>
        </row>
        <row r="37">
          <cell r="A37" t="str">
            <v xml:space="preserve"> Fungicides</v>
          </cell>
          <cell r="D37" t="str">
            <v>kg or l</v>
          </cell>
          <cell r="E37">
            <v>0</v>
          </cell>
          <cell r="F37">
            <v>0</v>
          </cell>
          <cell r="G37">
            <v>0</v>
          </cell>
          <cell r="H37">
            <v>0</v>
          </cell>
        </row>
        <row r="38">
          <cell r="A38" t="str">
            <v xml:space="preserve"> Crop Insurance</v>
          </cell>
          <cell r="D38" t="str">
            <v>Insurance</v>
          </cell>
          <cell r="E38">
            <v>1</v>
          </cell>
          <cell r="F38">
            <v>13.05</v>
          </cell>
          <cell r="G38">
            <v>13.05</v>
          </cell>
          <cell r="H38">
            <v>13.05</v>
          </cell>
        </row>
        <row r="39">
          <cell r="A39" t="str">
            <v xml:space="preserve"> Market Revenue Insurance</v>
          </cell>
          <cell r="D39" t="str">
            <v>Insurance</v>
          </cell>
          <cell r="E39">
            <v>1</v>
          </cell>
          <cell r="F39">
            <v>8.2984428221555915E-3</v>
          </cell>
          <cell r="G39">
            <v>8.2984428221555915E-3</v>
          </cell>
          <cell r="H39">
            <v>8.2984428221555915E-3</v>
          </cell>
        </row>
        <row r="40">
          <cell r="A40" t="str">
            <v xml:space="preserve"> Custom Work  #1</v>
          </cell>
          <cell r="C40" t="str">
            <v xml:space="preserve">Silo fill        </v>
          </cell>
          <cell r="E40">
            <v>0</v>
          </cell>
          <cell r="F40">
            <v>42</v>
          </cell>
          <cell r="G40">
            <v>0</v>
          </cell>
          <cell r="H40">
            <v>0</v>
          </cell>
        </row>
        <row r="41">
          <cell r="A41" t="str">
            <v xml:space="preserve">              #2</v>
          </cell>
          <cell r="C41" t="str">
            <v>Apply Nitrogen</v>
          </cell>
          <cell r="E41">
            <v>0</v>
          </cell>
          <cell r="F41">
            <v>8</v>
          </cell>
          <cell r="G41">
            <v>0</v>
          </cell>
          <cell r="H41">
            <v>0</v>
          </cell>
        </row>
        <row r="42">
          <cell r="A42" t="str">
            <v xml:space="preserve"> Storage</v>
          </cell>
          <cell r="D42" t="str">
            <v>tonnes</v>
          </cell>
          <cell r="E42">
            <v>0</v>
          </cell>
          <cell r="F42">
            <v>0</v>
          </cell>
          <cell r="G42">
            <v>0</v>
          </cell>
          <cell r="H42">
            <v>0</v>
          </cell>
        </row>
        <row r="43">
          <cell r="A43" t="str">
            <v xml:space="preserve"> Trucking</v>
          </cell>
          <cell r="D43" t="str">
            <v>tonnes</v>
          </cell>
          <cell r="E43">
            <v>12.5</v>
          </cell>
          <cell r="F43">
            <v>0</v>
          </cell>
          <cell r="G43">
            <v>0</v>
          </cell>
          <cell r="H43">
            <v>0</v>
          </cell>
        </row>
        <row r="44">
          <cell r="A44" t="str">
            <v xml:space="preserve"> Marketing Fees</v>
          </cell>
          <cell r="E44">
            <v>0</v>
          </cell>
          <cell r="F44">
            <v>0</v>
          </cell>
          <cell r="G44">
            <v>0</v>
          </cell>
          <cell r="H44">
            <v>0</v>
          </cell>
        </row>
        <row r="45">
          <cell r="A45" t="str">
            <v xml:space="preserve"> Other</v>
          </cell>
          <cell r="D45" t="str">
            <v xml:space="preserve"> </v>
          </cell>
          <cell r="E45">
            <v>0</v>
          </cell>
          <cell r="F45">
            <v>0</v>
          </cell>
          <cell r="G45">
            <v>0</v>
          </cell>
          <cell r="H45">
            <v>0</v>
          </cell>
        </row>
        <row r="49">
          <cell r="K49" t="str">
            <v>Wfarm!L4</v>
          </cell>
        </row>
        <row r="50">
          <cell r="K50" t="str">
            <v>Wfarm!L5</v>
          </cell>
        </row>
        <row r="51">
          <cell r="D51" t="str">
            <v>Typical</v>
          </cell>
          <cell r="E51" t="str">
            <v xml:space="preserve"> Enterprise</v>
          </cell>
          <cell r="K51" t="str">
            <v>Wfarm!L6</v>
          </cell>
        </row>
        <row r="52">
          <cell r="D52" t="str">
            <v xml:space="preserve"> $/Acre</v>
          </cell>
          <cell r="E52" t="str">
            <v xml:space="preserve"> $ Allocated</v>
          </cell>
          <cell r="G52" t="str">
            <v>$/Acre</v>
          </cell>
          <cell r="H52" t="str">
            <v>$/Year</v>
          </cell>
          <cell r="K52" t="str">
            <v>Wfarm!L7</v>
          </cell>
        </row>
        <row r="53">
          <cell r="A53" t="str">
            <v xml:space="preserve"> Fuel</v>
          </cell>
          <cell r="D53">
            <v>20</v>
          </cell>
          <cell r="E53" t="e">
            <v>#REF!</v>
          </cell>
          <cell r="G53" t="e">
            <v>#REF!</v>
          </cell>
          <cell r="H53" t="e">
            <v>#REF!</v>
          </cell>
          <cell r="K53" t="str">
            <v>Wfarm!L8</v>
          </cell>
        </row>
        <row r="54">
          <cell r="A54" t="str">
            <v xml:space="preserve"> Mach. Repair &amp; Maint.</v>
          </cell>
          <cell r="D54">
            <v>20</v>
          </cell>
          <cell r="E54" t="e">
            <v>#REF!</v>
          </cell>
          <cell r="G54" t="e">
            <v>#REF!</v>
          </cell>
          <cell r="H54" t="e">
            <v>#REF!</v>
          </cell>
        </row>
        <row r="55">
          <cell r="A55" t="str">
            <v xml:space="preserve"> Bldg. Repair &amp; Maint.</v>
          </cell>
          <cell r="D55">
            <v>8</v>
          </cell>
          <cell r="E55" t="e">
            <v>#REF!</v>
          </cell>
          <cell r="G55" t="e">
            <v>#REF!</v>
          </cell>
          <cell r="H55" t="e">
            <v>#REF!</v>
          </cell>
        </row>
        <row r="56">
          <cell r="A56" t="str">
            <v xml:space="preserve"> Rent and Labour</v>
          </cell>
          <cell r="D56">
            <v>16</v>
          </cell>
          <cell r="E56" t="e">
            <v>#REF!</v>
          </cell>
          <cell r="G56" t="e">
            <v>#REF!</v>
          </cell>
          <cell r="H56" t="e">
            <v>#REF!</v>
          </cell>
        </row>
        <row r="57">
          <cell r="A57" t="str">
            <v xml:space="preserve"> General Variable Costs</v>
          </cell>
          <cell r="D57">
            <v>15</v>
          </cell>
          <cell r="E57" t="e">
            <v>#REF!</v>
          </cell>
          <cell r="G57" t="e">
            <v>#REF!</v>
          </cell>
          <cell r="H57" t="e">
            <v>#REF!</v>
          </cell>
          <cell r="J57" t="e">
            <v>#REF!</v>
          </cell>
          <cell r="K57" t="str">
            <v>Wfarm!L9</v>
          </cell>
        </row>
        <row r="58">
          <cell r="A58" t="str">
            <v xml:space="preserve"> Interest on</v>
          </cell>
          <cell r="C58" t="str">
            <v>%int</v>
          </cell>
          <cell r="D58" t="str">
            <v>%year</v>
          </cell>
        </row>
        <row r="59">
          <cell r="A59" t="str">
            <v xml:space="preserve"> Operating Capital</v>
          </cell>
          <cell r="C59">
            <v>8</v>
          </cell>
          <cell r="D59">
            <v>40</v>
          </cell>
          <cell r="E59" t="e">
            <v>#REF!</v>
          </cell>
          <cell r="G59" t="e">
            <v>#REF!</v>
          </cell>
          <cell r="H59" t="e">
            <v>#REF!</v>
          </cell>
        </row>
        <row r="60">
          <cell r="G60" t="str">
            <v xml:space="preserve">  -------</v>
          </cell>
          <cell r="H60" t="str">
            <v xml:space="preserve">  -------</v>
          </cell>
        </row>
        <row r="61">
          <cell r="A61" t="str">
            <v>Total Variable Costs</v>
          </cell>
          <cell r="G61" t="e">
            <v>#REF!</v>
          </cell>
          <cell r="H61" t="e">
            <v>#REF!</v>
          </cell>
        </row>
        <row r="62">
          <cell r="D62" t="str">
            <v>Typical</v>
          </cell>
          <cell r="E62" t="str">
            <v xml:space="preserve"> Enterprise</v>
          </cell>
        </row>
        <row r="63">
          <cell r="A63" t="str">
            <v>Fixed Costs:</v>
          </cell>
          <cell r="D63" t="str">
            <v xml:space="preserve"> $/Acre</v>
          </cell>
          <cell r="E63" t="str">
            <v xml:space="preserve"> $ Allocated</v>
          </cell>
          <cell r="G63" t="str">
            <v>$/Acre</v>
          </cell>
          <cell r="H63" t="str">
            <v>$/Year</v>
          </cell>
          <cell r="K63" t="str">
            <v>Wfarm!K4</v>
          </cell>
        </row>
        <row r="64">
          <cell r="A64" t="str">
            <v xml:space="preserve"> Depreciation</v>
          </cell>
          <cell r="D64">
            <v>31</v>
          </cell>
          <cell r="E64" t="e">
            <v>#REF!</v>
          </cell>
          <cell r="G64" t="e">
            <v>#REF!</v>
          </cell>
          <cell r="H64" t="e">
            <v>#REF!</v>
          </cell>
          <cell r="K64" t="str">
            <v>Wfarm!K5</v>
          </cell>
        </row>
        <row r="65">
          <cell r="A65" t="str">
            <v xml:space="preserve"> Interest on Term Loans</v>
          </cell>
          <cell r="D65">
            <v>19</v>
          </cell>
          <cell r="E65" t="e">
            <v>#REF!</v>
          </cell>
          <cell r="G65" t="e">
            <v>#REF!</v>
          </cell>
          <cell r="H65" t="e">
            <v>#REF!</v>
          </cell>
          <cell r="K65" t="str">
            <v>Wfarm!K6</v>
          </cell>
        </row>
        <row r="66">
          <cell r="A66" t="str">
            <v xml:space="preserve"> Long-term Leases</v>
          </cell>
          <cell r="D66">
            <v>0</v>
          </cell>
          <cell r="E66" t="e">
            <v>#REF!</v>
          </cell>
          <cell r="G66" t="e">
            <v>#REF!</v>
          </cell>
          <cell r="H66" t="e">
            <v>#REF!</v>
          </cell>
          <cell r="K66" t="str">
            <v>Wfarm!K7</v>
          </cell>
        </row>
        <row r="67">
          <cell r="A67" t="str">
            <v xml:space="preserve"> General Fixed Costs</v>
          </cell>
          <cell r="D67">
            <v>5.5</v>
          </cell>
          <cell r="E67" t="e">
            <v>#REF!</v>
          </cell>
          <cell r="G67" t="e">
            <v>#REF!</v>
          </cell>
          <cell r="H67" t="e">
            <v>#REF!</v>
          </cell>
        </row>
        <row r="68">
          <cell r="G68" t="str">
            <v xml:space="preserve">  -------</v>
          </cell>
          <cell r="H68" t="str">
            <v xml:space="preserve">  -------</v>
          </cell>
        </row>
        <row r="69">
          <cell r="A69" t="str">
            <v>Total Fixed Costs</v>
          </cell>
          <cell r="G69" t="e">
            <v>#REF!</v>
          </cell>
          <cell r="H69" t="e">
            <v>#REF!</v>
          </cell>
        </row>
        <row r="70">
          <cell r="A70" t="str">
            <v>=</v>
          </cell>
          <cell r="B70" t="str">
            <v>=</v>
          </cell>
          <cell r="C70" t="str">
            <v>=</v>
          </cell>
          <cell r="D70" t="str">
            <v>=</v>
          </cell>
          <cell r="E70" t="str">
            <v>=</v>
          </cell>
          <cell r="F70" t="str">
            <v>=</v>
          </cell>
          <cell r="G70" t="str">
            <v>=</v>
          </cell>
          <cell r="H70" t="str">
            <v>=</v>
          </cell>
        </row>
        <row r="71">
          <cell r="A71" t="str">
            <v>Revenues:</v>
          </cell>
          <cell r="E71" t="str">
            <v>$/Acre</v>
          </cell>
          <cell r="F71" t="str">
            <v>$/Year</v>
          </cell>
        </row>
        <row r="72">
          <cell r="A72" t="str">
            <v>Total Expected Revenues</v>
          </cell>
          <cell r="E72">
            <v>328.125</v>
          </cell>
          <cell r="F72">
            <v>328.125</v>
          </cell>
        </row>
        <row r="73">
          <cell r="A73" t="str">
            <v xml:space="preserve">    add: Expected Insurance Revenues</v>
          </cell>
          <cell r="E73">
            <v>7.0902625625642628</v>
          </cell>
          <cell r="F73">
            <v>7.0902625625642628</v>
          </cell>
        </row>
        <row r="74">
          <cell r="A74" t="str">
            <v xml:space="preserve">    less: Variable Costs</v>
          </cell>
          <cell r="E74" t="e">
            <v>#REF!</v>
          </cell>
          <cell r="F74" t="e">
            <v>#REF!</v>
          </cell>
        </row>
        <row r="75">
          <cell r="E75" t="str">
            <v xml:space="preserve">  -------</v>
          </cell>
          <cell r="F75" t="str">
            <v xml:space="preserve">  -------</v>
          </cell>
        </row>
        <row r="76">
          <cell r="A76" t="str">
            <v>Expected Operating Margin</v>
          </cell>
          <cell r="E76" t="e">
            <v>#REF!</v>
          </cell>
          <cell r="F76" t="e">
            <v>#REF!</v>
          </cell>
        </row>
        <row r="77">
          <cell r="A77" t="str">
            <v xml:space="preserve">    less: Fixed Costs</v>
          </cell>
          <cell r="E77" t="e">
            <v>#REF!</v>
          </cell>
          <cell r="F77" t="e">
            <v>#REF!</v>
          </cell>
        </row>
        <row r="78">
          <cell r="E78" t="str">
            <v xml:space="preserve">  -------</v>
          </cell>
          <cell r="F78" t="str">
            <v xml:space="preserve">  -------</v>
          </cell>
        </row>
        <row r="79">
          <cell r="A79" t="str">
            <v>Expected Net Revenue</v>
          </cell>
          <cell r="E79" t="e">
            <v>#REF!</v>
          </cell>
          <cell r="F79" t="e">
            <v>#REF!</v>
          </cell>
        </row>
        <row r="81">
          <cell r="A81" t="str">
            <v xml:space="preserve">      Break-even $/tonne to cover:</v>
          </cell>
          <cell r="E81" t="str">
            <v>Variable Costs</v>
          </cell>
          <cell r="G81" t="e">
            <v>#REF!</v>
          </cell>
        </row>
        <row r="82">
          <cell r="E82" t="str">
            <v>Fixed Costs</v>
          </cell>
          <cell r="G82" t="e">
            <v>#REF!</v>
          </cell>
        </row>
        <row r="83">
          <cell r="G83" t="str">
            <v xml:space="preserve">  -------</v>
          </cell>
        </row>
        <row r="84">
          <cell r="E84" t="str">
            <v>Total Costs</v>
          </cell>
          <cell r="G84" t="e">
            <v>#REF!</v>
          </cell>
        </row>
        <row r="85">
          <cell r="A85" t="str">
            <v>=</v>
          </cell>
          <cell r="B85" t="str">
            <v>=</v>
          </cell>
          <cell r="C85" t="str">
            <v>=</v>
          </cell>
          <cell r="D85" t="str">
            <v>=</v>
          </cell>
          <cell r="E85" t="str">
            <v>=</v>
          </cell>
          <cell r="F85" t="str">
            <v>=</v>
          </cell>
          <cell r="G85" t="str">
            <v>=</v>
          </cell>
          <cell r="H85" t="str">
            <v>=</v>
          </cell>
        </row>
        <row r="86">
          <cell r="B86" t="str">
            <v>Chance of at least breaking even          ==&gt;</v>
          </cell>
          <cell r="G86" t="e">
            <v>#REF!</v>
          </cell>
        </row>
        <row r="87">
          <cell r="B87" t="str">
            <v>Chance of at least</v>
          </cell>
          <cell r="D87">
            <v>0</v>
          </cell>
          <cell r="E87" t="str">
            <v>$/acre return  ==&gt;</v>
          </cell>
          <cell r="G87" t="e">
            <v>#REF!</v>
          </cell>
        </row>
        <row r="88">
          <cell r="B88" t="str">
            <v>Coefficient of variation                  ==&gt;</v>
          </cell>
          <cell r="G88">
            <v>0.30795776127009045</v>
          </cell>
        </row>
        <row r="89">
          <cell r="H89" t="str">
            <v>mn</v>
          </cell>
          <cell r="I89" t="e">
            <v>#REF!</v>
          </cell>
        </row>
        <row r="90">
          <cell r="C90" t="str">
            <v>Returns $/acre</v>
          </cell>
          <cell r="E90" t="str">
            <v>Chances of at least</v>
          </cell>
          <cell r="H90" t="str">
            <v>ystd</v>
          </cell>
          <cell r="I90">
            <v>3.7967330000000001</v>
          </cell>
        </row>
        <row r="91">
          <cell r="E91" t="str">
            <v>this return per acre</v>
          </cell>
          <cell r="H91" t="str">
            <v>pstd</v>
          </cell>
          <cell r="I91">
            <v>1.2759857499999994</v>
          </cell>
        </row>
        <row r="92">
          <cell r="H92" t="str">
            <v>nrstd</v>
          </cell>
          <cell r="I92">
            <v>101.04864041674843</v>
          </cell>
        </row>
        <row r="93">
          <cell r="C93" t="e">
            <v>#REF!</v>
          </cell>
          <cell r="E93" t="str">
            <v xml:space="preserve">       17 %</v>
          </cell>
        </row>
        <row r="94">
          <cell r="C94" t="e">
            <v>#REF!</v>
          </cell>
          <cell r="E94" t="str">
            <v xml:space="preserve">       33 %</v>
          </cell>
          <cell r="H94" t="str">
            <v>z</v>
          </cell>
          <cell r="I94" t="e">
            <v>#REF!</v>
          </cell>
          <cell r="J94" t="e">
            <v>#REF!</v>
          </cell>
        </row>
        <row r="95">
          <cell r="C95" t="e">
            <v>#REF!</v>
          </cell>
          <cell r="E95" t="str">
            <v xml:space="preserve">       50 %</v>
          </cell>
          <cell r="H95" t="str">
            <v>v1</v>
          </cell>
          <cell r="I95" t="e">
            <v>#REF!</v>
          </cell>
          <cell r="J95" t="e">
            <v>#REF!</v>
          </cell>
        </row>
        <row r="96">
          <cell r="C96" t="e">
            <v>#REF!</v>
          </cell>
          <cell r="E96" t="str">
            <v xml:space="preserve">       67 %</v>
          </cell>
          <cell r="H96" t="str">
            <v>v2</v>
          </cell>
          <cell r="I96" t="e">
            <v>#REF!</v>
          </cell>
          <cell r="J96" t="e">
            <v>#REF!</v>
          </cell>
        </row>
        <row r="97">
          <cell r="C97" t="e">
            <v>#REF!</v>
          </cell>
          <cell r="E97" t="str">
            <v xml:space="preserve">       83 %</v>
          </cell>
          <cell r="H97" t="str">
            <v>p(vx)</v>
          </cell>
          <cell r="I97" t="e">
            <v>#REF!</v>
          </cell>
          <cell r="J97" t="e">
            <v>#REF!</v>
          </cell>
        </row>
        <row r="98">
          <cell r="H98" t="str">
            <v/>
          </cell>
        </row>
        <row r="99">
          <cell r="E99" t="str">
            <v>- End of Budget -</v>
          </cell>
        </row>
        <row r="100">
          <cell r="A100" t="str">
            <v>=</v>
          </cell>
          <cell r="B100" t="str">
            <v>=</v>
          </cell>
          <cell r="C100" t="str">
            <v>=</v>
          </cell>
          <cell r="D100" t="str">
            <v>=</v>
          </cell>
          <cell r="E100" t="str">
            <v>=</v>
          </cell>
          <cell r="F100" t="str">
            <v>=</v>
          </cell>
          <cell r="G100" t="str">
            <v>=</v>
          </cell>
          <cell r="H100" t="str">
            <v>=</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YB"/>
    </sheetNames>
    <sheetDataSet>
      <sheetData sheetId="0">
        <row r="1">
          <cell r="A1" t="str">
            <v>Soyb 1</v>
          </cell>
          <cell r="C1" t="str">
            <v>SOYBEANS ENTERPRISE BUDGET</v>
          </cell>
          <cell r="G1" t="str">
            <v>Revised: Dec '00</v>
          </cell>
        </row>
        <row r="2">
          <cell r="A2">
            <v>606</v>
          </cell>
          <cell r="F2" t="str">
            <v>Profit Per Acre</v>
          </cell>
          <cell r="H2">
            <v>20.704838831421711</v>
          </cell>
        </row>
        <row r="3">
          <cell r="B3" t="str">
            <v>Number of Acres =</v>
          </cell>
          <cell r="D3">
            <v>1</v>
          </cell>
          <cell r="F3" t="str">
            <v xml:space="preserve">    1 t =</v>
          </cell>
          <cell r="G3">
            <v>36.74</v>
          </cell>
          <cell r="H3" t="str">
            <v>bu</v>
          </cell>
        </row>
        <row r="6">
          <cell r="C6" t="str">
            <v xml:space="preserve">  Optimistic</v>
          </cell>
          <cell r="E6" t="str">
            <v xml:space="preserve">  Expected</v>
          </cell>
          <cell r="G6" t="str">
            <v xml:space="preserve"> Pessimistic</v>
          </cell>
        </row>
        <row r="7">
          <cell r="A7" t="str">
            <v>Yield - bu/ac</v>
          </cell>
          <cell r="C7">
            <v>50</v>
          </cell>
          <cell r="E7">
            <v>40</v>
          </cell>
          <cell r="G7">
            <v>34</v>
          </cell>
        </row>
        <row r="8">
          <cell r="A8" t="str">
            <v>Price - $/bu</v>
          </cell>
          <cell r="C8">
            <v>8.4</v>
          </cell>
          <cell r="E8">
            <v>7</v>
          </cell>
          <cell r="G8">
            <v>6.5</v>
          </cell>
        </row>
        <row r="9">
          <cell r="A9" t="str">
            <v>Production - bu</v>
          </cell>
          <cell r="C9">
            <v>50</v>
          </cell>
          <cell r="E9">
            <v>40</v>
          </cell>
          <cell r="G9">
            <v>34</v>
          </cell>
        </row>
        <row r="11">
          <cell r="D11" t="str">
            <v>Insurance Evaluation</v>
          </cell>
        </row>
        <row r="12">
          <cell r="A12" t="str">
            <v>Market Revenue Ins.</v>
          </cell>
          <cell r="E12" t="str">
            <v xml:space="preserve">  Crop Insurance</v>
          </cell>
        </row>
        <row r="13">
          <cell r="A13" t="str">
            <v xml:space="preserve"> Premium/ac:</v>
          </cell>
          <cell r="D13">
            <v>-2.0209103112489786E-13</v>
          </cell>
          <cell r="E13" t="str">
            <v xml:space="preserve">   C.I. Premium/ac:</v>
          </cell>
          <cell r="H13">
            <v>8.5</v>
          </cell>
          <cell r="K13">
            <v>-6.1239706401484196E-13</v>
          </cell>
        </row>
        <row r="14">
          <cell r="A14" t="str">
            <v xml:space="preserve"> Guaranteed Price/bu</v>
          </cell>
          <cell r="D14" t="str">
            <v>n/a</v>
          </cell>
          <cell r="E14" t="str">
            <v xml:space="preserve">   Level of Coverage</v>
          </cell>
          <cell r="H14">
            <v>0.9</v>
          </cell>
          <cell r="K14">
            <v>11.076540736701833</v>
          </cell>
        </row>
        <row r="15">
          <cell r="A15" t="str">
            <v xml:space="preserve"> Probability of a payout</v>
          </cell>
          <cell r="D15">
            <v>1E-4</v>
          </cell>
          <cell r="E15" t="str">
            <v xml:space="preserve">   Guaranteed Yield/ac.</v>
          </cell>
          <cell r="H15">
            <v>36</v>
          </cell>
          <cell r="K15">
            <v>222.3717019052801</v>
          </cell>
        </row>
        <row r="16">
          <cell r="A16" t="str">
            <v xml:space="preserve"> Expected Payout/ac</v>
          </cell>
          <cell r="D16">
            <v>-6.1239706401484196E-13</v>
          </cell>
          <cell r="E16" t="str">
            <v xml:space="preserve">   Probability of a payout</v>
          </cell>
          <cell r="H16">
            <v>0.3085399129320831</v>
          </cell>
          <cell r="K16">
            <v>48</v>
          </cell>
        </row>
        <row r="17">
          <cell r="D17">
            <v>9.0053755093471969E-14</v>
          </cell>
          <cell r="E17" t="str">
            <v xml:space="preserve">   Expected Payout/ac</v>
          </cell>
          <cell r="H17">
            <v>11.076540736702446</v>
          </cell>
          <cell r="K17">
            <v>280</v>
          </cell>
        </row>
        <row r="18">
          <cell r="H18">
            <v>0.3085399129320831</v>
          </cell>
          <cell r="K18">
            <v>123.55061920089062</v>
          </cell>
        </row>
        <row r="19">
          <cell r="A19" t="str">
            <v>Participate in MRIP? (y/n)</v>
          </cell>
          <cell r="D19" t="str">
            <v>Yes</v>
          </cell>
          <cell r="E19" t="str">
            <v xml:space="preserve">  Participate in CI? (y/n)</v>
          </cell>
          <cell r="H19" t="str">
            <v>Yes</v>
          </cell>
          <cell r="K19">
            <v>1.0887316276537833</v>
          </cell>
        </row>
        <row r="20">
          <cell r="K20">
            <v>257.18</v>
          </cell>
        </row>
        <row r="21">
          <cell r="D21" t="str">
            <v>Unit/Ac</v>
          </cell>
          <cell r="E21" t="str">
            <v>Number</v>
          </cell>
          <cell r="F21" t="str">
            <v>Cost/Unit</v>
          </cell>
          <cell r="G21" t="str">
            <v>$/Acre</v>
          </cell>
          <cell r="H21" t="str">
            <v>$/Year</v>
          </cell>
          <cell r="K21" t="str">
            <v>Allo!C3..J14</v>
          </cell>
        </row>
        <row r="22">
          <cell r="A22" t="str">
            <v>Expenses</v>
          </cell>
          <cell r="D22" t="str">
            <v>-------</v>
          </cell>
          <cell r="E22" t="str">
            <v xml:space="preserve">  ------</v>
          </cell>
          <cell r="F22" t="str">
            <v>-</v>
          </cell>
          <cell r="G22" t="str">
            <v xml:space="preserve">  -------</v>
          </cell>
          <cell r="H22" t="str">
            <v xml:space="preserve">  -------</v>
          </cell>
          <cell r="K22">
            <v>1</v>
          </cell>
        </row>
        <row r="23">
          <cell r="A23" t="str">
            <v>Variable Costs:</v>
          </cell>
          <cell r="K23">
            <v>35</v>
          </cell>
        </row>
        <row r="24">
          <cell r="A24" t="str">
            <v xml:space="preserve"> Seed </v>
          </cell>
          <cell r="D24" t="str">
            <v>kg</v>
          </cell>
          <cell r="E24">
            <v>35</v>
          </cell>
          <cell r="F24">
            <v>1</v>
          </cell>
          <cell r="G24">
            <v>35</v>
          </cell>
          <cell r="H24">
            <v>35</v>
          </cell>
          <cell r="K24">
            <v>13.200000000000001</v>
          </cell>
        </row>
        <row r="25">
          <cell r="A25" t="str">
            <v xml:space="preserve"> Seed Treatment</v>
          </cell>
          <cell r="D25" t="str">
            <v>kg</v>
          </cell>
          <cell r="E25">
            <v>0.32700000000000001</v>
          </cell>
          <cell r="F25">
            <v>15</v>
          </cell>
          <cell r="G25">
            <v>4.9050000000000002</v>
          </cell>
          <cell r="H25">
            <v>4.9050000000000002</v>
          </cell>
          <cell r="K25">
            <v>46.905000000000001</v>
          </cell>
        </row>
        <row r="26">
          <cell r="A26" t="str">
            <v xml:space="preserve"> Fertilizer   </v>
          </cell>
          <cell r="B26" t="str">
            <v>#1</v>
          </cell>
          <cell r="C26" t="str">
            <v>6-24-24</v>
          </cell>
          <cell r="D26" t="str">
            <v>kg</v>
          </cell>
          <cell r="E26">
            <v>40</v>
          </cell>
          <cell r="F26">
            <v>0.33</v>
          </cell>
          <cell r="G26">
            <v>13.200000000000001</v>
          </cell>
          <cell r="H26">
            <v>13.200000000000001</v>
          </cell>
          <cell r="K26">
            <v>15.032389765922497</v>
          </cell>
        </row>
        <row r="27">
          <cell r="B27" t="str">
            <v>#2</v>
          </cell>
          <cell r="C27" t="str">
            <v xml:space="preserve"> </v>
          </cell>
          <cell r="D27" t="str">
            <v>kg</v>
          </cell>
          <cell r="E27">
            <v>0</v>
          </cell>
          <cell r="F27">
            <v>0</v>
          </cell>
          <cell r="G27">
            <v>0</v>
          </cell>
          <cell r="H27">
            <v>0</v>
          </cell>
          <cell r="K27">
            <v>0.76211213935764821</v>
          </cell>
        </row>
        <row r="28">
          <cell r="B28" t="str">
            <v>#3</v>
          </cell>
          <cell r="C28" t="str">
            <v xml:space="preserve"> </v>
          </cell>
          <cell r="D28" t="str">
            <v>kg</v>
          </cell>
          <cell r="E28">
            <v>0</v>
          </cell>
          <cell r="F28">
            <v>0</v>
          </cell>
          <cell r="G28">
            <v>0</v>
          </cell>
          <cell r="H28">
            <v>0</v>
          </cell>
          <cell r="K28">
            <v>37</v>
          </cell>
        </row>
        <row r="30">
          <cell r="D30" t="str">
            <v>Unit/Ac</v>
          </cell>
          <cell r="E30" t="str">
            <v>Number</v>
          </cell>
          <cell r="F30" t="str">
            <v>Cost/Unit</v>
          </cell>
          <cell r="G30" t="str">
            <v>$/Acre</v>
          </cell>
          <cell r="H30" t="str">
            <v>$/Year</v>
          </cell>
          <cell r="J30" t="str">
            <v>Grip prob factor (component of grip)</v>
          </cell>
          <cell r="K30">
            <v>3.4512526315789471</v>
          </cell>
        </row>
        <row r="31">
          <cell r="A31" t="str">
            <v xml:space="preserve"> Herbicide </v>
          </cell>
          <cell r="D31" t="str">
            <v>-------</v>
          </cell>
          <cell r="E31" t="str">
            <v xml:space="preserve">  ------</v>
          </cell>
          <cell r="F31" t="str">
            <v>-</v>
          </cell>
          <cell r="G31" t="str">
            <v xml:space="preserve">  -------</v>
          </cell>
          <cell r="H31" t="str">
            <v xml:space="preserve">  -------</v>
          </cell>
        </row>
        <row r="32">
          <cell r="A32" t="str">
            <v xml:space="preserve">   Annual Grasses</v>
          </cell>
          <cell r="D32" t="str">
            <v>kg or l</v>
          </cell>
          <cell r="E32">
            <v>1.2</v>
          </cell>
          <cell r="F32">
            <v>15</v>
          </cell>
          <cell r="G32">
            <v>18</v>
          </cell>
          <cell r="H32">
            <v>18</v>
          </cell>
          <cell r="J32" t="str">
            <v>C.I. prob factor (component of Crop Insurance)</v>
          </cell>
          <cell r="K32">
            <v>1.1663350000000001</v>
          </cell>
        </row>
        <row r="33">
          <cell r="A33" t="str">
            <v xml:space="preserve">   Broadleaf Herbicides</v>
          </cell>
          <cell r="D33" t="str">
            <v>kg or l</v>
          </cell>
          <cell r="E33">
            <v>1</v>
          </cell>
          <cell r="F33">
            <v>24</v>
          </cell>
          <cell r="G33">
            <v>24</v>
          </cell>
          <cell r="H33">
            <v>24</v>
          </cell>
          <cell r="K33">
            <v>8.5</v>
          </cell>
        </row>
        <row r="34">
          <cell r="A34" t="str">
            <v xml:space="preserve">   Other Herbicides</v>
          </cell>
          <cell r="D34" t="str">
            <v>kg or l</v>
          </cell>
          <cell r="E34">
            <v>1</v>
          </cell>
          <cell r="F34">
            <v>0</v>
          </cell>
          <cell r="G34">
            <v>0</v>
          </cell>
          <cell r="H34">
            <v>0</v>
          </cell>
          <cell r="K34">
            <v>8.4999999999997975</v>
          </cell>
        </row>
        <row r="35">
          <cell r="A35" t="str">
            <v xml:space="preserve"> Insecticides</v>
          </cell>
          <cell r="D35" t="str">
            <v>kg or l</v>
          </cell>
          <cell r="E35">
            <v>0</v>
          </cell>
          <cell r="F35">
            <v>0</v>
          </cell>
          <cell r="G35">
            <v>0</v>
          </cell>
          <cell r="H35">
            <v>0</v>
          </cell>
        </row>
        <row r="36">
          <cell r="A36" t="str">
            <v xml:space="preserve"> Fungicides</v>
          </cell>
          <cell r="D36" t="str">
            <v>kg or l</v>
          </cell>
          <cell r="E36">
            <v>0</v>
          </cell>
          <cell r="F36">
            <v>0</v>
          </cell>
          <cell r="G36">
            <v>0</v>
          </cell>
          <cell r="H36">
            <v>0</v>
          </cell>
        </row>
        <row r="37">
          <cell r="A37" t="str">
            <v xml:space="preserve"> Crop Insurance</v>
          </cell>
          <cell r="D37" t="str">
            <v>Insurance</v>
          </cell>
          <cell r="E37">
            <v>1</v>
          </cell>
          <cell r="F37">
            <v>8.5</v>
          </cell>
          <cell r="G37">
            <v>8.5</v>
          </cell>
          <cell r="H37">
            <v>8.5</v>
          </cell>
        </row>
        <row r="38">
          <cell r="A38" t="str">
            <v xml:space="preserve"> Market Revenue Insurance</v>
          </cell>
          <cell r="D38" t="str">
            <v>Insurance</v>
          </cell>
          <cell r="E38">
            <v>1</v>
          </cell>
          <cell r="F38">
            <v>-2.0209103112489786E-13</v>
          </cell>
          <cell r="G38">
            <v>-2.0209103112489786E-13</v>
          </cell>
          <cell r="H38">
            <v>-2.0209103112489786E-13</v>
          </cell>
        </row>
        <row r="39">
          <cell r="A39" t="str">
            <v xml:space="preserve"> Custom Work  #1</v>
          </cell>
          <cell r="C39" t="str">
            <v xml:space="preserve">Combine        </v>
          </cell>
          <cell r="E39">
            <v>1</v>
          </cell>
          <cell r="F39">
            <v>30</v>
          </cell>
          <cell r="G39">
            <v>30</v>
          </cell>
          <cell r="H39">
            <v>30</v>
          </cell>
        </row>
        <row r="40">
          <cell r="B40" t="str">
            <v xml:space="preserve">     #2</v>
          </cell>
          <cell r="C40" t="str">
            <v>Fertilizer Spread</v>
          </cell>
          <cell r="E40">
            <v>1</v>
          </cell>
          <cell r="F40">
            <v>7</v>
          </cell>
          <cell r="G40">
            <v>7</v>
          </cell>
          <cell r="H40">
            <v>7</v>
          </cell>
        </row>
        <row r="41">
          <cell r="A41" t="str">
            <v xml:space="preserve"> Drying</v>
          </cell>
          <cell r="D41" t="str">
            <v>tonnes</v>
          </cell>
          <cell r="E41">
            <v>0</v>
          </cell>
          <cell r="F41">
            <v>0</v>
          </cell>
          <cell r="G41">
            <v>0</v>
          </cell>
          <cell r="H41">
            <v>0</v>
          </cell>
        </row>
        <row r="42">
          <cell r="A42" t="str">
            <v xml:space="preserve"> Storage</v>
          </cell>
          <cell r="D42" t="str">
            <v>tonnes</v>
          </cell>
          <cell r="E42">
            <v>0</v>
          </cell>
          <cell r="F42">
            <v>0</v>
          </cell>
          <cell r="G42">
            <v>0</v>
          </cell>
          <cell r="H42">
            <v>0</v>
          </cell>
        </row>
        <row r="43">
          <cell r="A43" t="str">
            <v xml:space="preserve"> Trucking</v>
          </cell>
          <cell r="D43" t="str">
            <v>tonnes</v>
          </cell>
          <cell r="E43">
            <v>1.0887316276537833</v>
          </cell>
          <cell r="F43">
            <v>6</v>
          </cell>
          <cell r="G43">
            <v>6.5323897659226997</v>
          </cell>
          <cell r="H43">
            <v>6.5323897659226997</v>
          </cell>
        </row>
        <row r="44">
          <cell r="A44" t="str">
            <v xml:space="preserve"> Marketing Fees</v>
          </cell>
          <cell r="D44" t="str">
            <v>tonnes</v>
          </cell>
          <cell r="E44">
            <v>1.0887316276537833</v>
          </cell>
          <cell r="F44">
            <v>0.7</v>
          </cell>
          <cell r="G44">
            <v>0.76211213935764821</v>
          </cell>
          <cell r="H44">
            <v>0.76211213935764821</v>
          </cell>
        </row>
        <row r="45">
          <cell r="A45" t="str">
            <v xml:space="preserve"> Other</v>
          </cell>
          <cell r="D45" t="str">
            <v xml:space="preserve"> </v>
          </cell>
          <cell r="E45">
            <v>0</v>
          </cell>
          <cell r="F45">
            <v>0</v>
          </cell>
          <cell r="G45">
            <v>0</v>
          </cell>
          <cell r="H45">
            <v>0</v>
          </cell>
        </row>
        <row r="49">
          <cell r="K49" t="str">
            <v>Wfarm!L4</v>
          </cell>
        </row>
        <row r="50">
          <cell r="K50" t="str">
            <v>Wfarm!L5</v>
          </cell>
        </row>
        <row r="51">
          <cell r="D51" t="str">
            <v>Typical</v>
          </cell>
          <cell r="E51" t="str">
            <v xml:space="preserve"> Enterprise</v>
          </cell>
          <cell r="K51" t="str">
            <v>Wfarm!L6</v>
          </cell>
        </row>
        <row r="52">
          <cell r="D52" t="str">
            <v xml:space="preserve"> $/Acre</v>
          </cell>
          <cell r="E52" t="str">
            <v xml:space="preserve"> $ Allocated</v>
          </cell>
          <cell r="G52" t="str">
            <v>$/Acre</v>
          </cell>
          <cell r="H52" t="str">
            <v>$/Year</v>
          </cell>
          <cell r="K52" t="str">
            <v>Wfarm!L7</v>
          </cell>
        </row>
        <row r="53">
          <cell r="A53" t="str">
            <v xml:space="preserve"> Fuel</v>
          </cell>
          <cell r="D53">
            <v>16.2</v>
          </cell>
          <cell r="E53">
            <v>0</v>
          </cell>
          <cell r="G53">
            <v>16.2</v>
          </cell>
          <cell r="H53">
            <v>16.2</v>
          </cell>
          <cell r="K53" t="str">
            <v>Wfarm!L8</v>
          </cell>
        </row>
        <row r="54">
          <cell r="A54" t="str">
            <v xml:space="preserve"> Mach. Repair &amp; Maint.</v>
          </cell>
          <cell r="D54">
            <v>16</v>
          </cell>
          <cell r="E54">
            <v>0</v>
          </cell>
          <cell r="G54">
            <v>16</v>
          </cell>
          <cell r="H54">
            <v>16</v>
          </cell>
        </row>
        <row r="55">
          <cell r="A55" t="str">
            <v xml:space="preserve"> Bldg. Repair &amp; Maint.</v>
          </cell>
          <cell r="D55">
            <v>3</v>
          </cell>
          <cell r="E55">
            <v>0</v>
          </cell>
          <cell r="G55">
            <v>3</v>
          </cell>
          <cell r="H55">
            <v>3</v>
          </cell>
        </row>
        <row r="56">
          <cell r="A56" t="str">
            <v xml:space="preserve"> Rent and Labour</v>
          </cell>
          <cell r="D56">
            <v>16</v>
          </cell>
          <cell r="E56">
            <v>0</v>
          </cell>
          <cell r="G56">
            <v>16</v>
          </cell>
          <cell r="H56">
            <v>16</v>
          </cell>
        </row>
        <row r="57">
          <cell r="A57" t="str">
            <v xml:space="preserve"> General Variable Costs</v>
          </cell>
          <cell r="D57">
            <v>15</v>
          </cell>
          <cell r="E57">
            <v>0</v>
          </cell>
          <cell r="G57">
            <v>15</v>
          </cell>
          <cell r="H57">
            <v>15</v>
          </cell>
          <cell r="J57">
            <v>8.2721999999999909</v>
          </cell>
          <cell r="K57" t="str">
            <v>Wfarm!L9</v>
          </cell>
        </row>
        <row r="58">
          <cell r="A58" t="str">
            <v xml:space="preserve"> Interest on</v>
          </cell>
          <cell r="C58" t="str">
            <v>%int</v>
          </cell>
          <cell r="D58" t="str">
            <v>%year</v>
          </cell>
        </row>
        <row r="59">
          <cell r="A59" t="str">
            <v xml:space="preserve"> Operating Capital</v>
          </cell>
          <cell r="C59">
            <v>8</v>
          </cell>
          <cell r="D59">
            <v>50</v>
          </cell>
          <cell r="E59">
            <v>0</v>
          </cell>
          <cell r="G59">
            <v>8.2721999999999909</v>
          </cell>
          <cell r="H59">
            <v>8.2721999999999909</v>
          </cell>
        </row>
        <row r="60">
          <cell r="G60" t="str">
            <v xml:space="preserve">  -------</v>
          </cell>
          <cell r="H60" t="str">
            <v xml:space="preserve">  -------</v>
          </cell>
        </row>
        <row r="61">
          <cell r="A61" t="str">
            <v>Total Variable Costs</v>
          </cell>
          <cell r="G61">
            <v>222.3717019052801</v>
          </cell>
          <cell r="H61">
            <v>222.3717019052801</v>
          </cell>
        </row>
        <row r="62">
          <cell r="D62" t="str">
            <v>Typical</v>
          </cell>
          <cell r="E62" t="str">
            <v xml:space="preserve"> Enterprise</v>
          </cell>
        </row>
        <row r="63">
          <cell r="A63" t="str">
            <v>Fixed Costs:</v>
          </cell>
          <cell r="D63" t="str">
            <v xml:space="preserve"> $/Acre</v>
          </cell>
          <cell r="E63" t="str">
            <v xml:space="preserve"> $ Allocated</v>
          </cell>
          <cell r="G63" t="str">
            <v>$/Acre</v>
          </cell>
          <cell r="H63" t="str">
            <v>$/Year</v>
          </cell>
          <cell r="K63" t="str">
            <v>Wfarm!K4</v>
          </cell>
        </row>
        <row r="64">
          <cell r="A64" t="str">
            <v xml:space="preserve"> Depreciation</v>
          </cell>
          <cell r="D64">
            <v>24</v>
          </cell>
          <cell r="E64">
            <v>0</v>
          </cell>
          <cell r="G64">
            <v>24</v>
          </cell>
          <cell r="H64">
            <v>24</v>
          </cell>
          <cell r="K64" t="str">
            <v>Wfarm!K5</v>
          </cell>
        </row>
        <row r="65">
          <cell r="A65" t="str">
            <v xml:space="preserve"> Interest on Term Loans</v>
          </cell>
          <cell r="D65">
            <v>14</v>
          </cell>
          <cell r="E65">
            <v>0</v>
          </cell>
          <cell r="G65">
            <v>14</v>
          </cell>
          <cell r="H65">
            <v>14</v>
          </cell>
          <cell r="K65" t="str">
            <v>Wfarm!K6</v>
          </cell>
        </row>
        <row r="66">
          <cell r="A66" t="str">
            <v xml:space="preserve"> Long-term Leases</v>
          </cell>
          <cell r="D66">
            <v>0</v>
          </cell>
          <cell r="E66">
            <v>0</v>
          </cell>
          <cell r="G66">
            <v>0</v>
          </cell>
          <cell r="H66">
            <v>0</v>
          </cell>
          <cell r="K66" t="str">
            <v>Wfarm!K7</v>
          </cell>
        </row>
        <row r="67">
          <cell r="A67" t="str">
            <v xml:space="preserve"> General Fixed Costs</v>
          </cell>
          <cell r="D67">
            <v>10</v>
          </cell>
          <cell r="E67">
            <v>0</v>
          </cell>
          <cell r="G67">
            <v>10</v>
          </cell>
          <cell r="H67">
            <v>10</v>
          </cell>
        </row>
        <row r="68">
          <cell r="G68" t="str">
            <v xml:space="preserve">  -------</v>
          </cell>
          <cell r="H68" t="str">
            <v xml:space="preserve">  -------</v>
          </cell>
        </row>
        <row r="69">
          <cell r="A69" t="str">
            <v>Total Fixed Costs</v>
          </cell>
          <cell r="G69">
            <v>48</v>
          </cell>
          <cell r="H69">
            <v>48</v>
          </cell>
        </row>
        <row r="71">
          <cell r="A71" t="str">
            <v>Revenues:</v>
          </cell>
          <cell r="E71" t="str">
            <v>$/Acre</v>
          </cell>
          <cell r="F71" t="str">
            <v>$/Year</v>
          </cell>
        </row>
        <row r="72">
          <cell r="A72" t="str">
            <v>Total Expected Revenues</v>
          </cell>
          <cell r="E72">
            <v>280</v>
          </cell>
          <cell r="F72">
            <v>280</v>
          </cell>
        </row>
        <row r="73">
          <cell r="A73" t="str">
            <v xml:space="preserve">    add: Expected Insurance Revenues</v>
          </cell>
          <cell r="E73">
            <v>11.076540736701833</v>
          </cell>
          <cell r="F73">
            <v>11.076540736701833</v>
          </cell>
        </row>
        <row r="74">
          <cell r="A74" t="str">
            <v xml:space="preserve">    less: Variable Costs</v>
          </cell>
          <cell r="E74">
            <v>222.3717019052801</v>
          </cell>
          <cell r="F74">
            <v>222.3717019052801</v>
          </cell>
        </row>
        <row r="75">
          <cell r="E75" t="str">
            <v xml:space="preserve">  -------</v>
          </cell>
          <cell r="F75" t="str">
            <v xml:space="preserve">  -------</v>
          </cell>
        </row>
        <row r="76">
          <cell r="A76" t="str">
            <v>Expected Operating Margin</v>
          </cell>
          <cell r="E76">
            <v>68.704838831421711</v>
          </cell>
          <cell r="F76">
            <v>68.704838831421711</v>
          </cell>
        </row>
        <row r="77">
          <cell r="A77" t="str">
            <v xml:space="preserve">    less: Fixed Costs</v>
          </cell>
          <cell r="E77">
            <v>48</v>
          </cell>
          <cell r="F77">
            <v>48</v>
          </cell>
        </row>
        <row r="78">
          <cell r="E78" t="str">
            <v xml:space="preserve">  -------</v>
          </cell>
          <cell r="F78" t="str">
            <v xml:space="preserve">  -------</v>
          </cell>
        </row>
        <row r="79">
          <cell r="A79" t="str">
            <v>Expected Net Revenue</v>
          </cell>
          <cell r="E79">
            <v>20.704838831421711</v>
          </cell>
          <cell r="F79">
            <v>20.704838831421711</v>
          </cell>
        </row>
        <row r="81">
          <cell r="A81" t="str">
            <v xml:space="preserve">         Break-even $/bu to cover:</v>
          </cell>
          <cell r="E81" t="str">
            <v>Variable Costs</v>
          </cell>
          <cell r="G81">
            <v>5.559292547632003</v>
          </cell>
        </row>
        <row r="82">
          <cell r="E82" t="str">
            <v>Fixed Costs</v>
          </cell>
          <cell r="G82">
            <v>1.2</v>
          </cell>
        </row>
        <row r="83">
          <cell r="G83" t="str">
            <v xml:space="preserve">  -------</v>
          </cell>
        </row>
        <row r="84">
          <cell r="E84" t="str">
            <v>Total Costs</v>
          </cell>
          <cell r="G84">
            <v>6.7592925476320032</v>
          </cell>
        </row>
        <row r="86">
          <cell r="B86" t="str">
            <v>Chance of at least breaking even          ==&gt;</v>
          </cell>
          <cell r="G86">
            <v>0.56654387045603016</v>
          </cell>
        </row>
        <row r="87">
          <cell r="B87" t="str">
            <v>Chance of at least</v>
          </cell>
          <cell r="D87">
            <v>0</v>
          </cell>
          <cell r="E87" t="str">
            <v>$/acre return  ==&gt;</v>
          </cell>
          <cell r="G87">
            <v>0.56654387045603016</v>
          </cell>
        </row>
        <row r="88">
          <cell r="B88" t="str">
            <v>Coefficient of variation                  ==&gt;</v>
          </cell>
          <cell r="G88">
            <v>0.44125221143175225</v>
          </cell>
        </row>
        <row r="89">
          <cell r="H89" t="str">
            <v>mn</v>
          </cell>
          <cell r="I89">
            <v>20.704838831421711</v>
          </cell>
        </row>
        <row r="90">
          <cell r="C90" t="str">
            <v>Returns $/acre</v>
          </cell>
          <cell r="E90" t="str">
            <v>Chances of at least</v>
          </cell>
          <cell r="H90" t="str">
            <v>ystd</v>
          </cell>
          <cell r="I90">
            <v>12.947322</v>
          </cell>
        </row>
        <row r="91">
          <cell r="E91" t="str">
            <v>this return per acre</v>
          </cell>
          <cell r="H91" t="str">
            <v>pstd</v>
          </cell>
          <cell r="I91">
            <v>1.9971975</v>
          </cell>
        </row>
        <row r="92">
          <cell r="H92" t="str">
            <v>nrstd</v>
          </cell>
          <cell r="I92">
            <v>123.55061920089062</v>
          </cell>
        </row>
        <row r="93">
          <cell r="C93">
            <v>140.54893945628561</v>
          </cell>
          <cell r="E93" t="str">
            <v xml:space="preserve">       17 %</v>
          </cell>
        </row>
        <row r="94">
          <cell r="C94">
            <v>73.831605087804675</v>
          </cell>
          <cell r="E94" t="str">
            <v xml:space="preserve">       33 %</v>
          </cell>
          <cell r="H94" t="str">
            <v>z</v>
          </cell>
          <cell r="I94">
            <v>0.16758182974183311</v>
          </cell>
          <cell r="J94">
            <v>0.16758182974183311</v>
          </cell>
        </row>
        <row r="95">
          <cell r="C95">
            <v>20.704838831421711</v>
          </cell>
          <cell r="E95" t="str">
            <v xml:space="preserve">       50 %</v>
          </cell>
          <cell r="H95" t="str">
            <v>v1</v>
          </cell>
          <cell r="I95">
            <v>0.96263162837884009</v>
          </cell>
          <cell r="J95">
            <v>0.96263162837884009</v>
          </cell>
        </row>
        <row r="96">
          <cell r="C96">
            <v>-32.421927424961254</v>
          </cell>
          <cell r="E96" t="str">
            <v xml:space="preserve">       67 %</v>
          </cell>
          <cell r="H96" t="str">
            <v>v2</v>
          </cell>
          <cell r="I96">
            <v>0.39337954628611282</v>
          </cell>
          <cell r="J96">
            <v>0.39337954628611282</v>
          </cell>
        </row>
        <row r="97">
          <cell r="C97">
            <v>-99.139261793442188</v>
          </cell>
          <cell r="E97" t="str">
            <v xml:space="preserve">       83 %</v>
          </cell>
          <cell r="H97" t="str">
            <v>p(vx)</v>
          </cell>
          <cell r="I97">
            <v>0.43345612954396978</v>
          </cell>
          <cell r="J97">
            <v>0.43345612954396978</v>
          </cell>
        </row>
        <row r="98">
          <cell r="H98" t="str">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OAT"/>
    </sheetNames>
    <sheetDataSet>
      <sheetData sheetId="0">
        <row r="1">
          <cell r="A1" t="str">
            <v>Dgoat 1</v>
          </cell>
          <cell r="C1" t="str">
            <v>DAIRY GOAT HERD ENTERPRISE BUDGET</v>
          </cell>
          <cell r="G1" t="str">
            <v>Revised:May '98</v>
          </cell>
        </row>
        <row r="2">
          <cell r="A2">
            <v>302</v>
          </cell>
          <cell r="F2" t="str">
            <v>Profit Per Doe:</v>
          </cell>
          <cell r="H2" t="e">
            <v>#REF!</v>
          </cell>
        </row>
        <row r="3">
          <cell r="G3" t="str">
            <v>Revised: June 94</v>
          </cell>
        </row>
        <row r="4">
          <cell r="A4" t="str">
            <v>Number of Milking Does</v>
          </cell>
          <cell r="D4" t="str">
            <v>hd</v>
          </cell>
          <cell r="E4">
            <v>300</v>
          </cell>
        </row>
        <row r="5">
          <cell r="A5" t="str">
            <v>Percent Does Culled</v>
          </cell>
          <cell r="D5" t="str">
            <v>%</v>
          </cell>
          <cell r="E5">
            <v>20</v>
          </cell>
        </row>
        <row r="6">
          <cell r="A6" t="str">
            <v>Milking Doe Death Loss</v>
          </cell>
          <cell r="D6" t="str">
            <v>%</v>
          </cell>
          <cell r="E6">
            <v>2</v>
          </cell>
        </row>
        <row r="7">
          <cell r="A7" t="str">
            <v>Weight of Cull Does</v>
          </cell>
          <cell r="D7" t="str">
            <v>lbs</v>
          </cell>
          <cell r="E7">
            <v>135</v>
          </cell>
        </row>
        <row r="8">
          <cell r="A8" t="str">
            <v>Price of Cull Does</v>
          </cell>
          <cell r="D8" t="str">
            <v>c/lb</v>
          </cell>
          <cell r="E8">
            <v>50</v>
          </cell>
        </row>
        <row r="9">
          <cell r="A9" t="str">
            <v>Replacement Does Raised</v>
          </cell>
          <cell r="D9" t="str">
            <v>hd</v>
          </cell>
          <cell r="E9">
            <v>66</v>
          </cell>
        </row>
        <row r="10">
          <cell r="A10" t="str">
            <v>Number of Breeding Bucks</v>
          </cell>
          <cell r="D10" t="str">
            <v>hd</v>
          </cell>
          <cell r="E10">
            <v>6</v>
          </cell>
        </row>
        <row r="11">
          <cell r="A11" t="str">
            <v>Weight of Cull Bucks</v>
          </cell>
          <cell r="D11" t="str">
            <v>lbs</v>
          </cell>
          <cell r="E11">
            <v>225</v>
          </cell>
        </row>
        <row r="12">
          <cell r="A12" t="str">
            <v>Price of Cull Bucks</v>
          </cell>
          <cell r="D12" t="str">
            <v>c/lb</v>
          </cell>
          <cell r="E12">
            <v>55</v>
          </cell>
        </row>
        <row r="13">
          <cell r="A13" t="str">
            <v>Number of Bucks Culled</v>
          </cell>
          <cell r="D13" t="str">
            <v>hd</v>
          </cell>
          <cell r="E13">
            <v>2</v>
          </cell>
        </row>
        <row r="14">
          <cell r="K14">
            <v>0</v>
          </cell>
        </row>
        <row r="15">
          <cell r="E15" t="str">
            <v>Opt.</v>
          </cell>
          <cell r="F15" t="str">
            <v xml:space="preserve"> Expected</v>
          </cell>
          <cell r="G15" t="str">
            <v>Pess.</v>
          </cell>
          <cell r="K15">
            <v>107476</v>
          </cell>
        </row>
        <row r="16">
          <cell r="A16" t="str">
            <v>Percent Kid Crop</v>
          </cell>
          <cell r="D16" t="str">
            <v>%</v>
          </cell>
          <cell r="E16">
            <v>200</v>
          </cell>
          <cell r="F16">
            <v>180</v>
          </cell>
          <cell r="G16">
            <v>150</v>
          </cell>
          <cell r="K16" t="e">
            <v>#REF!</v>
          </cell>
        </row>
        <row r="17">
          <cell r="A17" t="str">
            <v>Percent Kid Mortality</v>
          </cell>
          <cell r="D17" t="str">
            <v>%</v>
          </cell>
          <cell r="E17">
            <v>5</v>
          </cell>
          <cell r="F17">
            <v>10</v>
          </cell>
          <cell r="G17">
            <v>15</v>
          </cell>
          <cell r="K17">
            <v>154447.5</v>
          </cell>
        </row>
        <row r="18">
          <cell r="A18" t="str">
            <v>Marketable Kid Crop</v>
          </cell>
          <cell r="D18" t="str">
            <v>hd</v>
          </cell>
          <cell r="E18">
            <v>570</v>
          </cell>
          <cell r="F18">
            <v>486</v>
          </cell>
          <cell r="G18">
            <v>383</v>
          </cell>
          <cell r="K18">
            <v>47035.833680291034</v>
          </cell>
        </row>
        <row r="19">
          <cell r="A19" t="str">
            <v>Selling Price of Kids</v>
          </cell>
          <cell r="D19" t="str">
            <v>$/hd</v>
          </cell>
          <cell r="E19">
            <v>35</v>
          </cell>
          <cell r="F19">
            <v>20</v>
          </cell>
          <cell r="G19">
            <v>15</v>
          </cell>
        </row>
        <row r="20">
          <cell r="A20" t="str">
            <v>Milk Yield per Doe</v>
          </cell>
          <cell r="D20" t="str">
            <v>l/hd</v>
          </cell>
          <cell r="E20">
            <v>800</v>
          </cell>
          <cell r="F20">
            <v>675</v>
          </cell>
          <cell r="G20">
            <v>500</v>
          </cell>
          <cell r="K20" t="str">
            <v>Tran!D3..G14</v>
          </cell>
        </row>
        <row r="21">
          <cell r="A21" t="str">
            <v>Price of Milk</v>
          </cell>
          <cell r="D21" t="str">
            <v>$/hl</v>
          </cell>
          <cell r="E21">
            <v>80</v>
          </cell>
          <cell r="F21">
            <v>70</v>
          </cell>
          <cell r="G21">
            <v>50</v>
          </cell>
          <cell r="K21" t="str">
            <v>Allo!C3..J14</v>
          </cell>
        </row>
        <row r="22">
          <cell r="K22">
            <v>300</v>
          </cell>
        </row>
        <row r="23">
          <cell r="A23" t="str">
            <v>Expected Revenues:</v>
          </cell>
          <cell r="D23" t="str">
            <v>Unit</v>
          </cell>
          <cell r="E23" t="str">
            <v>Number</v>
          </cell>
          <cell r="F23" t="str">
            <v>$/Unit</v>
          </cell>
          <cell r="H23" t="str">
            <v>$/Year</v>
          </cell>
          <cell r="K23">
            <v>600</v>
          </cell>
        </row>
        <row r="24">
          <cell r="A24" t="str">
            <v xml:space="preserve"> Breeding Doe Kid Sales </v>
          </cell>
          <cell r="D24" t="str">
            <v>hd</v>
          </cell>
          <cell r="E24">
            <v>0</v>
          </cell>
          <cell r="F24">
            <v>150</v>
          </cell>
          <cell r="H24">
            <v>0</v>
          </cell>
          <cell r="K24">
            <v>32040</v>
          </cell>
        </row>
        <row r="25">
          <cell r="A25" t="str">
            <v xml:space="preserve"> Breeding Buck Kid Sales</v>
          </cell>
          <cell r="D25" t="str">
            <v>hd</v>
          </cell>
          <cell r="E25">
            <v>0</v>
          </cell>
          <cell r="F25">
            <v>250</v>
          </cell>
          <cell r="H25">
            <v>0</v>
          </cell>
          <cell r="K25">
            <v>4500</v>
          </cell>
        </row>
        <row r="26">
          <cell r="A26" t="str">
            <v xml:space="preserve"> Other Breeding Stock Sales</v>
          </cell>
          <cell r="D26" t="str">
            <v>hd</v>
          </cell>
          <cell r="E26">
            <v>0</v>
          </cell>
          <cell r="F26">
            <v>0</v>
          </cell>
          <cell r="H26">
            <v>0</v>
          </cell>
          <cell r="K26">
            <v>12000</v>
          </cell>
        </row>
        <row r="27">
          <cell r="A27" t="str">
            <v xml:space="preserve"> Cull Doe Sales</v>
          </cell>
          <cell r="D27" t="str">
            <v>hd</v>
          </cell>
          <cell r="E27">
            <v>60</v>
          </cell>
          <cell r="F27">
            <v>67.5</v>
          </cell>
          <cell r="H27">
            <v>4050</v>
          </cell>
          <cell r="K27">
            <v>15600</v>
          </cell>
        </row>
        <row r="28">
          <cell r="A28" t="str">
            <v xml:space="preserve"> Cull Buck Sales</v>
          </cell>
          <cell r="D28" t="str">
            <v>hd</v>
          </cell>
          <cell r="E28">
            <v>2</v>
          </cell>
          <cell r="F28">
            <v>123.75</v>
          </cell>
          <cell r="H28">
            <v>247.5</v>
          </cell>
          <cell r="K28">
            <v>0</v>
          </cell>
        </row>
        <row r="29">
          <cell r="A29" t="str">
            <v xml:space="preserve"> Market Kid Sales</v>
          </cell>
          <cell r="D29" t="str">
            <v>hd</v>
          </cell>
          <cell r="E29">
            <v>420</v>
          </cell>
          <cell r="F29">
            <v>20</v>
          </cell>
          <cell r="H29">
            <v>8400</v>
          </cell>
        </row>
        <row r="30">
          <cell r="A30" t="str">
            <v xml:space="preserve"> Milk Sales </v>
          </cell>
          <cell r="D30" t="str">
            <v>hl</v>
          </cell>
          <cell r="E30">
            <v>2025</v>
          </cell>
          <cell r="F30">
            <v>70</v>
          </cell>
          <cell r="H30">
            <v>141750</v>
          </cell>
        </row>
        <row r="31">
          <cell r="A31" t="str">
            <v>-</v>
          </cell>
          <cell r="B31" t="str">
            <v>-</v>
          </cell>
          <cell r="H31" t="str">
            <v>-</v>
          </cell>
        </row>
        <row r="32">
          <cell r="A32" t="str">
            <v>Expected Total Revenue</v>
          </cell>
          <cell r="H32">
            <v>154447.5</v>
          </cell>
        </row>
        <row r="34">
          <cell r="A34" t="str">
            <v>=</v>
          </cell>
          <cell r="B34" t="str">
            <v>=</v>
          </cell>
          <cell r="C34" t="str">
            <v>=</v>
          </cell>
          <cell r="D34" t="str">
            <v>=</v>
          </cell>
          <cell r="E34" t="str">
            <v>=</v>
          </cell>
          <cell r="F34" t="str">
            <v>=</v>
          </cell>
          <cell r="G34" t="str">
            <v>=</v>
          </cell>
          <cell r="H34" t="str">
            <v>=</v>
          </cell>
        </row>
        <row r="35">
          <cell r="A35" t="str">
            <v>Number of Does to Base Variable Costs on ==&gt;</v>
          </cell>
          <cell r="F35">
            <v>300</v>
          </cell>
          <cell r="G35" t="str">
            <v>**</v>
          </cell>
        </row>
        <row r="36">
          <cell r="A36" t="str">
            <v>**(Enter the herd size used to determine variable costs)</v>
          </cell>
        </row>
        <row r="38">
          <cell r="A38" t="str">
            <v>EXPENSES</v>
          </cell>
          <cell r="E38" t="str">
            <v>Typical</v>
          </cell>
          <cell r="F38" t="str">
            <v>$/Year</v>
          </cell>
          <cell r="H38" t="str">
            <v>$/Year</v>
          </cell>
        </row>
        <row r="39">
          <cell r="E39" t="str">
            <v>$/Doe</v>
          </cell>
          <cell r="F39" t="str">
            <v>300 Does</v>
          </cell>
          <cell r="G39" t="str">
            <v>$/Doe</v>
          </cell>
          <cell r="H39" t="str">
            <v xml:space="preserve"> 300 Does</v>
          </cell>
        </row>
        <row r="40">
          <cell r="A40" t="str">
            <v xml:space="preserve"> Variable Costs:</v>
          </cell>
          <cell r="E40" t="str">
            <v>--------</v>
          </cell>
          <cell r="F40" t="str">
            <v>--------</v>
          </cell>
          <cell r="G40" t="str">
            <v xml:space="preserve">   -----</v>
          </cell>
          <cell r="H40" t="str">
            <v xml:space="preserve"> --------</v>
          </cell>
        </row>
        <row r="41">
          <cell r="A41" t="str">
            <v>Purchased Feed</v>
          </cell>
        </row>
        <row r="42">
          <cell r="A42" t="str">
            <v xml:space="preserve">  Hay  #1</v>
          </cell>
          <cell r="B42" t="str">
            <v xml:space="preserve"> </v>
          </cell>
          <cell r="E42">
            <v>0</v>
          </cell>
          <cell r="F42">
            <v>0</v>
          </cell>
          <cell r="G42">
            <v>0</v>
          </cell>
          <cell r="H42">
            <v>0</v>
          </cell>
        </row>
        <row r="43">
          <cell r="A43" t="str">
            <v xml:space="preserve">       #2</v>
          </cell>
          <cell r="B43" t="str">
            <v xml:space="preserve"> </v>
          </cell>
          <cell r="E43">
            <v>0</v>
          </cell>
          <cell r="F43">
            <v>0</v>
          </cell>
          <cell r="G43">
            <v>0</v>
          </cell>
          <cell r="H43">
            <v>0</v>
          </cell>
        </row>
        <row r="44">
          <cell r="A44" t="str">
            <v xml:space="preserve">  Grain#1</v>
          </cell>
          <cell r="B44" t="str">
            <v xml:space="preserve"> </v>
          </cell>
          <cell r="E44">
            <v>0</v>
          </cell>
          <cell r="F44">
            <v>0</v>
          </cell>
          <cell r="G44">
            <v>0</v>
          </cell>
          <cell r="H44">
            <v>0</v>
          </cell>
        </row>
        <row r="45">
          <cell r="A45" t="str">
            <v xml:space="preserve">       #2</v>
          </cell>
          <cell r="B45" t="str">
            <v xml:space="preserve"> </v>
          </cell>
          <cell r="E45">
            <v>0</v>
          </cell>
          <cell r="F45">
            <v>0</v>
          </cell>
          <cell r="G45">
            <v>0</v>
          </cell>
          <cell r="H45">
            <v>0</v>
          </cell>
        </row>
        <row r="46">
          <cell r="A46" t="str">
            <v xml:space="preserve">  Protein Supplement</v>
          </cell>
          <cell r="E46">
            <v>6</v>
          </cell>
          <cell r="F46">
            <v>2250</v>
          </cell>
          <cell r="G46">
            <v>7.5</v>
          </cell>
          <cell r="H46">
            <v>2250</v>
          </cell>
        </row>
        <row r="47">
          <cell r="A47" t="str">
            <v xml:space="preserve">  Salt &amp; Mineral</v>
          </cell>
          <cell r="E47">
            <v>5.3</v>
          </cell>
          <cell r="F47">
            <v>1590</v>
          </cell>
          <cell r="G47">
            <v>5.3</v>
          </cell>
          <cell r="H47">
            <v>1590</v>
          </cell>
        </row>
        <row r="48">
          <cell r="A48" t="str">
            <v xml:space="preserve">  Prepared Feeds</v>
          </cell>
          <cell r="E48">
            <v>100</v>
          </cell>
          <cell r="F48">
            <v>28200</v>
          </cell>
          <cell r="G48">
            <v>94</v>
          </cell>
          <cell r="H48">
            <v>28200</v>
          </cell>
        </row>
        <row r="51">
          <cell r="A51" t="str">
            <v>Homegrown Feed: (from transfer table)</v>
          </cell>
        </row>
        <row r="52">
          <cell r="A52" t="str">
            <v xml:space="preserve"> Crop Transfers (based on </v>
          </cell>
          <cell r="D52">
            <v>300</v>
          </cell>
          <cell r="E52" t="str">
            <v>Does)</v>
          </cell>
          <cell r="G52">
            <v>0</v>
          </cell>
          <cell r="H52">
            <v>0</v>
          </cell>
        </row>
        <row r="54">
          <cell r="E54" t="str">
            <v>Typical</v>
          </cell>
          <cell r="F54" t="str">
            <v>$/Year</v>
          </cell>
          <cell r="H54" t="str">
            <v>$/Year</v>
          </cell>
        </row>
        <row r="55">
          <cell r="E55" t="str">
            <v>$/Doe</v>
          </cell>
          <cell r="F55" t="str">
            <v>300 Does</v>
          </cell>
          <cell r="G55" t="str">
            <v>$/Doe</v>
          </cell>
          <cell r="H55" t="str">
            <v xml:space="preserve"> 300 Does</v>
          </cell>
        </row>
        <row r="56">
          <cell r="E56" t="str">
            <v>--------</v>
          </cell>
          <cell r="F56" t="str">
            <v>--------</v>
          </cell>
          <cell r="G56" t="str">
            <v xml:space="preserve">   -----</v>
          </cell>
          <cell r="H56" t="str">
            <v xml:space="preserve"> --------</v>
          </cell>
        </row>
        <row r="57">
          <cell r="B57" t="str">
            <v xml:space="preserve"> *** (Input ONLY if NOT using Crop Transfer table) ***</v>
          </cell>
        </row>
        <row r="58">
          <cell r="A58" t="str">
            <v>Pasture#1</v>
          </cell>
          <cell r="B58" t="str">
            <v xml:space="preserve"> Improved</v>
          </cell>
          <cell r="E58">
            <v>0</v>
          </cell>
          <cell r="F58">
            <v>0</v>
          </cell>
          <cell r="G58">
            <v>0</v>
          </cell>
          <cell r="H58">
            <v>0</v>
          </cell>
        </row>
        <row r="59">
          <cell r="A59" t="str">
            <v xml:space="preserve">       #2</v>
          </cell>
          <cell r="B59" t="str">
            <v xml:space="preserve"> Unimpoved</v>
          </cell>
          <cell r="E59">
            <v>0</v>
          </cell>
          <cell r="F59">
            <v>0</v>
          </cell>
          <cell r="G59">
            <v>0</v>
          </cell>
          <cell r="H59">
            <v>0</v>
          </cell>
        </row>
        <row r="60">
          <cell r="A60" t="str">
            <v xml:space="preserve">       #3</v>
          </cell>
          <cell r="B60" t="str">
            <v xml:space="preserve"> </v>
          </cell>
          <cell r="E60">
            <v>0</v>
          </cell>
          <cell r="F60">
            <v>0</v>
          </cell>
          <cell r="G60">
            <v>0</v>
          </cell>
          <cell r="H60">
            <v>0</v>
          </cell>
        </row>
        <row r="61">
          <cell r="A61" t="str">
            <v>Hay    #1</v>
          </cell>
          <cell r="B61" t="str">
            <v xml:space="preserve"> </v>
          </cell>
          <cell r="E61">
            <v>15</v>
          </cell>
          <cell r="F61">
            <v>4200</v>
          </cell>
          <cell r="G61">
            <v>14</v>
          </cell>
          <cell r="H61">
            <v>4200</v>
          </cell>
        </row>
        <row r="62">
          <cell r="A62" t="str">
            <v xml:space="preserve">       #2</v>
          </cell>
          <cell r="B62" t="str">
            <v xml:space="preserve"> </v>
          </cell>
          <cell r="E62">
            <v>32</v>
          </cell>
          <cell r="F62">
            <v>9000</v>
          </cell>
          <cell r="G62">
            <v>30</v>
          </cell>
          <cell r="H62">
            <v>9000</v>
          </cell>
        </row>
        <row r="63">
          <cell r="A63" t="str">
            <v>Grain  #1</v>
          </cell>
          <cell r="B63" t="str">
            <v xml:space="preserve"> </v>
          </cell>
          <cell r="E63">
            <v>0</v>
          </cell>
          <cell r="F63">
            <v>0</v>
          </cell>
          <cell r="G63">
            <v>0</v>
          </cell>
          <cell r="H63">
            <v>0</v>
          </cell>
        </row>
        <row r="64">
          <cell r="A64" t="str">
            <v xml:space="preserve">       #2</v>
          </cell>
          <cell r="B64" t="str">
            <v xml:space="preserve"> </v>
          </cell>
          <cell r="E64">
            <v>0</v>
          </cell>
          <cell r="F64">
            <v>0</v>
          </cell>
          <cell r="G64">
            <v>0</v>
          </cell>
          <cell r="H64">
            <v>0</v>
          </cell>
        </row>
        <row r="65">
          <cell r="G65" t="str">
            <v>-</v>
          </cell>
          <cell r="H65" t="str">
            <v xml:space="preserve">  -------</v>
          </cell>
        </row>
        <row r="66">
          <cell r="A66" t="str">
            <v>Total Feed Costs</v>
          </cell>
          <cell r="G66">
            <v>150.80000000000001</v>
          </cell>
          <cell r="H66">
            <v>45240</v>
          </cell>
        </row>
        <row r="67">
          <cell r="H67" t="str">
            <v>$/Year</v>
          </cell>
        </row>
        <row r="68">
          <cell r="E68" t="str">
            <v>Head</v>
          </cell>
          <cell r="F68" t="str">
            <v>$/Head</v>
          </cell>
          <cell r="G68" t="str">
            <v>$/Doe</v>
          </cell>
          <cell r="H68" t="str">
            <v xml:space="preserve"> 300 Does</v>
          </cell>
        </row>
        <row r="69">
          <cell r="A69" t="str">
            <v xml:space="preserve"> Livestock Replacement</v>
          </cell>
          <cell r="E69" t="str">
            <v xml:space="preserve">    ----</v>
          </cell>
          <cell r="F69" t="str">
            <v xml:space="preserve">  ------</v>
          </cell>
          <cell r="G69" t="str">
            <v xml:space="preserve">   -----</v>
          </cell>
          <cell r="H69" t="str">
            <v>-</v>
          </cell>
        </row>
        <row r="70">
          <cell r="A70" t="str">
            <v xml:space="preserve">  Buck Purchase</v>
          </cell>
          <cell r="E70">
            <v>2</v>
          </cell>
          <cell r="F70">
            <v>300</v>
          </cell>
          <cell r="G70">
            <v>2</v>
          </cell>
          <cell r="H70">
            <v>600</v>
          </cell>
        </row>
        <row r="71">
          <cell r="A71" t="str">
            <v xml:space="preserve">  Buck Lease</v>
          </cell>
          <cell r="E71">
            <v>0</v>
          </cell>
          <cell r="F71">
            <v>0</v>
          </cell>
          <cell r="G71">
            <v>0</v>
          </cell>
          <cell r="H71">
            <v>0</v>
          </cell>
        </row>
        <row r="72">
          <cell r="A72" t="str">
            <v xml:space="preserve">  Milking Doe Purchase</v>
          </cell>
          <cell r="E72">
            <v>0</v>
          </cell>
          <cell r="F72">
            <v>0</v>
          </cell>
          <cell r="G72">
            <v>0</v>
          </cell>
          <cell r="H72">
            <v>0</v>
          </cell>
        </row>
        <row r="73">
          <cell r="A73" t="str">
            <v xml:space="preserve">  Replacement Doe Purchase</v>
          </cell>
          <cell r="E73">
            <v>0</v>
          </cell>
          <cell r="F73">
            <v>0</v>
          </cell>
          <cell r="G73">
            <v>0</v>
          </cell>
          <cell r="H73">
            <v>0</v>
          </cell>
        </row>
        <row r="74">
          <cell r="A74" t="str">
            <v xml:space="preserve">  Other -</v>
          </cell>
          <cell r="B74" t="str">
            <v xml:space="preserve"> Description</v>
          </cell>
          <cell r="E74">
            <v>0</v>
          </cell>
          <cell r="F74">
            <v>0</v>
          </cell>
          <cell r="G74">
            <v>0</v>
          </cell>
          <cell r="H74">
            <v>0</v>
          </cell>
        </row>
        <row r="76">
          <cell r="E76" t="str">
            <v>Typical</v>
          </cell>
          <cell r="F76" t="str">
            <v>$/Year</v>
          </cell>
          <cell r="H76" t="str">
            <v>$/Year</v>
          </cell>
        </row>
        <row r="77">
          <cell r="E77" t="str">
            <v>$/Doe</v>
          </cell>
          <cell r="F77" t="str">
            <v>300 Does</v>
          </cell>
          <cell r="G77" t="str">
            <v>$/Doe</v>
          </cell>
          <cell r="H77" t="str">
            <v xml:space="preserve"> 300 Does</v>
          </cell>
        </row>
        <row r="78">
          <cell r="E78" t="str">
            <v xml:space="preserve"> -------</v>
          </cell>
          <cell r="F78" t="str">
            <v>--------</v>
          </cell>
          <cell r="G78" t="str">
            <v xml:space="preserve">   -----</v>
          </cell>
          <cell r="H78" t="str">
            <v>-</v>
          </cell>
        </row>
        <row r="79">
          <cell r="A79" t="str">
            <v xml:space="preserve"> Hired Labour</v>
          </cell>
          <cell r="E79">
            <v>0</v>
          </cell>
          <cell r="F79">
            <v>1200</v>
          </cell>
          <cell r="G79">
            <v>4</v>
          </cell>
          <cell r="H79">
            <v>1200</v>
          </cell>
        </row>
        <row r="80">
          <cell r="A80" t="str">
            <v xml:space="preserve"> Veterinary &amp; Medicine</v>
          </cell>
          <cell r="E80">
            <v>16</v>
          </cell>
          <cell r="F80">
            <v>4500</v>
          </cell>
          <cell r="G80">
            <v>15</v>
          </cell>
          <cell r="H80">
            <v>4500</v>
          </cell>
        </row>
        <row r="81">
          <cell r="A81" t="str">
            <v xml:space="preserve"> Breeding Costs</v>
          </cell>
          <cell r="E81">
            <v>20</v>
          </cell>
          <cell r="F81">
            <v>0</v>
          </cell>
          <cell r="G81">
            <v>0</v>
          </cell>
          <cell r="H81">
            <v>0</v>
          </cell>
        </row>
        <row r="82">
          <cell r="A82" t="str">
            <v xml:space="preserve"> Bedding</v>
          </cell>
          <cell r="E82">
            <v>1</v>
          </cell>
          <cell r="F82">
            <v>300</v>
          </cell>
          <cell r="G82">
            <v>1</v>
          </cell>
          <cell r="H82">
            <v>300</v>
          </cell>
        </row>
        <row r="83">
          <cell r="A83" t="str">
            <v xml:space="preserve"> Marketing</v>
          </cell>
          <cell r="E83">
            <v>15</v>
          </cell>
          <cell r="F83">
            <v>5100</v>
          </cell>
          <cell r="G83">
            <v>17</v>
          </cell>
          <cell r="H83">
            <v>5100</v>
          </cell>
        </row>
        <row r="84">
          <cell r="A84" t="str">
            <v xml:space="preserve"> Transportation</v>
          </cell>
          <cell r="E84">
            <v>35</v>
          </cell>
          <cell r="F84">
            <v>10500</v>
          </cell>
          <cell r="G84">
            <v>35</v>
          </cell>
          <cell r="H84">
            <v>10500</v>
          </cell>
        </row>
        <row r="85">
          <cell r="A85" t="str">
            <v xml:space="preserve"> Livestock Supplies</v>
          </cell>
          <cell r="E85">
            <v>12.38</v>
          </cell>
          <cell r="F85">
            <v>0</v>
          </cell>
          <cell r="G85">
            <v>0</v>
          </cell>
          <cell r="H85">
            <v>0</v>
          </cell>
        </row>
        <row r="86">
          <cell r="A86" t="str">
            <v xml:space="preserve"> Custom Work</v>
          </cell>
          <cell r="E86">
            <v>5</v>
          </cell>
          <cell r="F86">
            <v>0</v>
          </cell>
          <cell r="G86">
            <v>0</v>
          </cell>
          <cell r="H86">
            <v>0</v>
          </cell>
        </row>
        <row r="87">
          <cell r="A87" t="str">
            <v xml:space="preserve"> Equipment Rental</v>
          </cell>
          <cell r="E87">
            <v>5.26</v>
          </cell>
          <cell r="F87">
            <v>0</v>
          </cell>
          <cell r="G87">
            <v>0</v>
          </cell>
          <cell r="H87">
            <v>0</v>
          </cell>
        </row>
        <row r="88">
          <cell r="A88" t="str">
            <v xml:space="preserve"> Miscellaneous (Tags, etc.)</v>
          </cell>
          <cell r="E88">
            <v>32</v>
          </cell>
          <cell r="F88">
            <v>10500</v>
          </cell>
          <cell r="G88">
            <v>35</v>
          </cell>
          <cell r="H88">
            <v>10500</v>
          </cell>
        </row>
        <row r="89">
          <cell r="D89" t="str">
            <v>Typical</v>
          </cell>
          <cell r="E89" t="str">
            <v xml:space="preserve"> Enterprise</v>
          </cell>
          <cell r="H89" t="str">
            <v>$/Year</v>
          </cell>
        </row>
        <row r="90">
          <cell r="D90" t="str">
            <v xml:space="preserve"> $/Doe</v>
          </cell>
          <cell r="E90" t="str">
            <v xml:space="preserve"> $ Allocated</v>
          </cell>
          <cell r="G90" t="str">
            <v>$/Doe</v>
          </cell>
          <cell r="H90" t="str">
            <v xml:space="preserve"> 300 Does</v>
          </cell>
        </row>
        <row r="91">
          <cell r="A91" t="str">
            <v xml:space="preserve"> Fuel</v>
          </cell>
          <cell r="D91">
            <v>2.5</v>
          </cell>
          <cell r="E91">
            <v>0</v>
          </cell>
          <cell r="G91">
            <v>2.5</v>
          </cell>
          <cell r="H91">
            <v>750</v>
          </cell>
        </row>
        <row r="92">
          <cell r="A92" t="str">
            <v xml:space="preserve"> Mach. Repair &amp; Maint.</v>
          </cell>
          <cell r="D92">
            <v>4.25</v>
          </cell>
          <cell r="E92">
            <v>0</v>
          </cell>
          <cell r="G92">
            <v>4.25</v>
          </cell>
          <cell r="H92">
            <v>1275</v>
          </cell>
          <cell r="K92" t="str">
            <v>Wfarm!L4</v>
          </cell>
        </row>
        <row r="93">
          <cell r="A93" t="str">
            <v xml:space="preserve"> Bldg. Repair &amp; Maint.</v>
          </cell>
          <cell r="D93">
            <v>40</v>
          </cell>
          <cell r="E93">
            <v>0</v>
          </cell>
          <cell r="G93">
            <v>40</v>
          </cell>
          <cell r="H93">
            <v>12000</v>
          </cell>
          <cell r="K93" t="str">
            <v>Wfarm!L5</v>
          </cell>
        </row>
        <row r="94">
          <cell r="A94" t="str">
            <v xml:space="preserve"> Rent and Labour</v>
          </cell>
          <cell r="D94">
            <v>0</v>
          </cell>
          <cell r="E94">
            <v>0</v>
          </cell>
          <cell r="G94">
            <v>0</v>
          </cell>
          <cell r="H94">
            <v>0</v>
          </cell>
          <cell r="K94" t="str">
            <v>Wfarm!L6</v>
          </cell>
        </row>
        <row r="95">
          <cell r="A95" t="str">
            <v xml:space="preserve"> General Variable Costs</v>
          </cell>
          <cell r="D95">
            <v>44</v>
          </cell>
          <cell r="E95">
            <v>0</v>
          </cell>
          <cell r="G95">
            <v>44</v>
          </cell>
          <cell r="H95">
            <v>13200</v>
          </cell>
          <cell r="K95" t="str">
            <v>Wfarm!L7</v>
          </cell>
        </row>
        <row r="96">
          <cell r="A96" t="str">
            <v xml:space="preserve"> Interest on</v>
          </cell>
          <cell r="C96" t="str">
            <v>%int</v>
          </cell>
          <cell r="D96" t="str">
            <v>%year</v>
          </cell>
          <cell r="K96" t="str">
            <v>Wfarm!L8</v>
          </cell>
        </row>
        <row r="97">
          <cell r="A97" t="str">
            <v xml:space="preserve"> Operating Capital</v>
          </cell>
          <cell r="C97">
            <v>7.75</v>
          </cell>
          <cell r="D97">
            <v>33.299999999999997</v>
          </cell>
          <cell r="E97">
            <v>0</v>
          </cell>
          <cell r="G97">
            <v>7.7033333333333331</v>
          </cell>
          <cell r="H97">
            <v>2311</v>
          </cell>
        </row>
        <row r="98">
          <cell r="G98" t="str">
            <v xml:space="preserve">  ------</v>
          </cell>
          <cell r="H98" t="str">
            <v xml:space="preserve">  ------</v>
          </cell>
        </row>
        <row r="99">
          <cell r="A99" t="str">
            <v>Total Variable Costs</v>
          </cell>
          <cell r="G99">
            <v>358.25333333333333</v>
          </cell>
          <cell r="H99">
            <v>107476</v>
          </cell>
          <cell r="K99" t="str">
            <v>Wfarm!L9</v>
          </cell>
        </row>
        <row r="100">
          <cell r="J100">
            <v>2311</v>
          </cell>
        </row>
        <row r="101">
          <cell r="D101" t="str">
            <v>Typical</v>
          </cell>
          <cell r="E101" t="str">
            <v xml:space="preserve"> Enterprise</v>
          </cell>
          <cell r="H101" t="str">
            <v>$/Year</v>
          </cell>
        </row>
        <row r="102">
          <cell r="A102" t="str">
            <v>Fixed Costs:</v>
          </cell>
          <cell r="D102" t="str">
            <v xml:space="preserve"> $/Doe</v>
          </cell>
          <cell r="E102" t="str">
            <v xml:space="preserve"> $ Allocated</v>
          </cell>
          <cell r="G102" t="str">
            <v>$/Doe</v>
          </cell>
          <cell r="H102" t="str">
            <v xml:space="preserve"> 300 Does</v>
          </cell>
        </row>
        <row r="103">
          <cell r="A103" t="str">
            <v xml:space="preserve"> Depreciation</v>
          </cell>
          <cell r="D103">
            <v>26</v>
          </cell>
          <cell r="E103">
            <v>0</v>
          </cell>
          <cell r="G103" t="e">
            <v>#REF!</v>
          </cell>
          <cell r="H103" t="e">
            <v>#REF!</v>
          </cell>
        </row>
        <row r="104">
          <cell r="A104" t="str">
            <v xml:space="preserve"> Interest on Term Loans</v>
          </cell>
          <cell r="D104">
            <v>45</v>
          </cell>
          <cell r="E104">
            <v>0</v>
          </cell>
          <cell r="G104" t="e">
            <v>#REF!</v>
          </cell>
          <cell r="H104" t="e">
            <v>#REF!</v>
          </cell>
        </row>
        <row r="105">
          <cell r="A105" t="str">
            <v xml:space="preserve"> Long-term Leases</v>
          </cell>
          <cell r="D105">
            <v>0</v>
          </cell>
          <cell r="E105">
            <v>0</v>
          </cell>
          <cell r="G105" t="e">
            <v>#REF!</v>
          </cell>
          <cell r="H105" t="e">
            <v>#REF!</v>
          </cell>
          <cell r="K105" t="str">
            <v>Wfarm!K4</v>
          </cell>
        </row>
        <row r="106">
          <cell r="A106" t="str">
            <v xml:space="preserve"> General Fixed Costs</v>
          </cell>
          <cell r="D106">
            <v>15</v>
          </cell>
          <cell r="E106">
            <v>0</v>
          </cell>
          <cell r="G106">
            <v>15</v>
          </cell>
          <cell r="H106">
            <v>4500</v>
          </cell>
          <cell r="K106" t="str">
            <v>Wfarm!K5</v>
          </cell>
        </row>
        <row r="107">
          <cell r="G107" t="str">
            <v xml:space="preserve">  ------</v>
          </cell>
          <cell r="H107" t="str">
            <v xml:space="preserve">  ------</v>
          </cell>
          <cell r="K107" t="str">
            <v>Wfarm!K6</v>
          </cell>
        </row>
        <row r="108">
          <cell r="A108" t="str">
            <v>Total Fixed Costs</v>
          </cell>
          <cell r="G108" t="e">
            <v>#REF!</v>
          </cell>
          <cell r="H108" t="e">
            <v>#REF!</v>
          </cell>
          <cell r="K108" t="str">
            <v>Wfarm!K7</v>
          </cell>
        </row>
        <row r="110">
          <cell r="A110" t="str">
            <v>Revenues:</v>
          </cell>
          <cell r="D110" t="str">
            <v>$/Doe</v>
          </cell>
          <cell r="E110" t="str">
            <v>$/Year</v>
          </cell>
        </row>
        <row r="111">
          <cell r="A111" t="str">
            <v>Total Expected Revenues</v>
          </cell>
          <cell r="D111">
            <v>514.82500000000005</v>
          </cell>
          <cell r="E111">
            <v>154447.5</v>
          </cell>
        </row>
        <row r="112">
          <cell r="A112" t="str">
            <v xml:space="preserve">    less: Variable Costs</v>
          </cell>
          <cell r="D112">
            <v>358.25333333333333</v>
          </cell>
          <cell r="E112">
            <v>107476</v>
          </cell>
        </row>
        <row r="113">
          <cell r="D113" t="str">
            <v xml:space="preserve">  ------</v>
          </cell>
          <cell r="E113" t="str">
            <v xml:space="preserve">  ------</v>
          </cell>
        </row>
        <row r="114">
          <cell r="A114" t="str">
            <v>Expected Operating Margin</v>
          </cell>
          <cell r="D114">
            <v>156.57166666666666</v>
          </cell>
          <cell r="E114">
            <v>46971.5</v>
          </cell>
        </row>
        <row r="115">
          <cell r="A115" t="str">
            <v xml:space="preserve">     less: Fixed Costs</v>
          </cell>
          <cell r="D115" t="e">
            <v>#REF!</v>
          </cell>
          <cell r="E115" t="e">
            <v>#REF!</v>
          </cell>
        </row>
        <row r="116">
          <cell r="D116" t="str">
            <v xml:space="preserve">  ------</v>
          </cell>
          <cell r="E116" t="str">
            <v xml:space="preserve">  ------</v>
          </cell>
        </row>
        <row r="117">
          <cell r="A117" t="str">
            <v>Expected Net Revenue</v>
          </cell>
          <cell r="D117" t="e">
            <v>#REF!</v>
          </cell>
          <cell r="E117" t="e">
            <v>#REF!</v>
          </cell>
        </row>
        <row r="120">
          <cell r="A120" t="str">
            <v>Expected Break-even per</v>
          </cell>
          <cell r="F120" t="str">
            <v>Kid Sold</v>
          </cell>
          <cell r="G120" t="str">
            <v xml:space="preserve"> hl of Milk</v>
          </cell>
        </row>
        <row r="121">
          <cell r="A121" t="str">
            <v>Needed to Cover:</v>
          </cell>
          <cell r="D121" t="str">
            <v>Variable Costs</v>
          </cell>
          <cell r="F121" t="e">
            <v>#REF!</v>
          </cell>
          <cell r="G121" t="e">
            <v>#REF!</v>
          </cell>
        </row>
        <row r="122">
          <cell r="D122" t="str">
            <v>Fixed Costs</v>
          </cell>
          <cell r="F122" t="e">
            <v>#REF!</v>
          </cell>
          <cell r="G122" t="e">
            <v>#REF!</v>
          </cell>
        </row>
        <row r="123">
          <cell r="F123" t="str">
            <v xml:space="preserve">  ------</v>
          </cell>
          <cell r="G123" t="str">
            <v xml:space="preserve">  ------</v>
          </cell>
        </row>
        <row r="124">
          <cell r="D124" t="str">
            <v>Total Costs</v>
          </cell>
          <cell r="F124" t="e">
            <v>#REF!</v>
          </cell>
          <cell r="G124" t="e">
            <v>#REF!</v>
          </cell>
        </row>
        <row r="125">
          <cell r="A125" t="str">
            <v>=</v>
          </cell>
          <cell r="B125" t="str">
            <v>=</v>
          </cell>
          <cell r="C125" t="str">
            <v>=</v>
          </cell>
          <cell r="D125" t="str">
            <v>=</v>
          </cell>
          <cell r="E125" t="str">
            <v>=</v>
          </cell>
          <cell r="F125" t="str">
            <v>=</v>
          </cell>
          <cell r="G125" t="str">
            <v>=</v>
          </cell>
          <cell r="H125" t="str">
            <v>=</v>
          </cell>
          <cell r="J125" t="e">
            <v>#REF!</v>
          </cell>
        </row>
        <row r="126">
          <cell r="B126" t="str">
            <v>Chance of at least breaking even        ==&gt;</v>
          </cell>
          <cell r="G126" t="e">
            <v>#REF!</v>
          </cell>
          <cell r="H126" t="str">
            <v>StdPrKids</v>
          </cell>
          <cell r="J126" t="e">
            <v>#REF!</v>
          </cell>
        </row>
        <row r="127">
          <cell r="B127" t="str">
            <v>Chance of at least</v>
          </cell>
          <cell r="D127">
            <v>0</v>
          </cell>
          <cell r="E127" t="str">
            <v>$/doe return ==&gt;</v>
          </cell>
          <cell r="G127" t="e">
            <v>#REF!</v>
          </cell>
          <cell r="H127" t="str">
            <v>VarKids</v>
          </cell>
        </row>
        <row r="128">
          <cell r="B128" t="str">
            <v>Coefficient of variation                ==&gt;</v>
          </cell>
          <cell r="G128">
            <v>0.30454253827540773</v>
          </cell>
          <cell r="H128" t="str">
            <v>StdHlMilk</v>
          </cell>
        </row>
        <row r="129">
          <cell r="H129" t="str">
            <v>StdPrMilk</v>
          </cell>
        </row>
        <row r="130">
          <cell r="C130" t="str">
            <v>Returns $/Doe</v>
          </cell>
          <cell r="E130" t="str">
            <v>Chances of at least</v>
          </cell>
          <cell r="H130" t="str">
            <v>VarMilk</v>
          </cell>
          <cell r="I130">
            <v>0.93500000000000005</v>
          </cell>
        </row>
        <row r="131">
          <cell r="E131" t="str">
            <v>this return per doe</v>
          </cell>
          <cell r="H131" t="str">
            <v>VarSum</v>
          </cell>
          <cell r="I131">
            <v>10</v>
          </cell>
        </row>
        <row r="132">
          <cell r="H132" t="str">
            <v>StdSum</v>
          </cell>
          <cell r="I132">
            <v>2799.0725000000002</v>
          </cell>
        </row>
        <row r="133">
          <cell r="C133" t="e">
            <v>#REF!</v>
          </cell>
          <cell r="E133" t="str">
            <v xml:space="preserve">       17 %</v>
          </cell>
          <cell r="H133" t="str">
            <v>z</v>
          </cell>
          <cell r="I133">
            <v>1.5</v>
          </cell>
        </row>
        <row r="134">
          <cell r="C134" t="e">
            <v>#REF!</v>
          </cell>
          <cell r="E134" t="str">
            <v xml:space="preserve">       33 %</v>
          </cell>
          <cell r="H134" t="str">
            <v>v1</v>
          </cell>
          <cell r="I134">
            <v>15</v>
          </cell>
        </row>
        <row r="135">
          <cell r="C135" t="e">
            <v>#REF!</v>
          </cell>
          <cell r="E135" t="str">
            <v xml:space="preserve">       50 %</v>
          </cell>
          <cell r="H135" t="str">
            <v>v2</v>
          </cell>
          <cell r="I135">
            <v>21782.8125</v>
          </cell>
        </row>
        <row r="136">
          <cell r="C136" t="e">
            <v>#REF!</v>
          </cell>
          <cell r="E136" t="str">
            <v xml:space="preserve">       67 %</v>
          </cell>
          <cell r="H136" t="str">
            <v>p(vx)</v>
          </cell>
          <cell r="I136">
            <v>24581.885000000002</v>
          </cell>
        </row>
        <row r="137">
          <cell r="C137" t="e">
            <v>#REF!</v>
          </cell>
          <cell r="E137" t="str">
            <v xml:space="preserve">       83 %</v>
          </cell>
          <cell r="I137">
            <v>156.78611226763678</v>
          </cell>
        </row>
        <row r="138">
          <cell r="H138" t="str">
            <v/>
          </cell>
          <cell r="I138" t="e">
            <v>#REF!</v>
          </cell>
          <cell r="J138" t="e">
            <v>#REF!</v>
          </cell>
        </row>
        <row r="139">
          <cell r="E139" t="str">
            <v>- End of Budget -</v>
          </cell>
          <cell r="I139" t="e">
            <v>#REF!</v>
          </cell>
          <cell r="J139" t="e">
            <v>#REF!</v>
          </cell>
        </row>
        <row r="140">
          <cell r="A140" t="str">
            <v>=</v>
          </cell>
          <cell r="B140" t="str">
            <v>=</v>
          </cell>
          <cell r="C140" t="str">
            <v>=</v>
          </cell>
          <cell r="D140" t="str">
            <v>=</v>
          </cell>
          <cell r="E140" t="str">
            <v>=</v>
          </cell>
          <cell r="F140" t="str">
            <v>=</v>
          </cell>
          <cell r="G140" t="str">
            <v>=</v>
          </cell>
          <cell r="H140" t="str">
            <v>=</v>
          </cell>
          <cell r="I140" t="e">
            <v>#REF!</v>
          </cell>
          <cell r="J140" t="e">
            <v>#REF!</v>
          </cell>
        </row>
        <row r="141">
          <cell r="I141" t="e">
            <v>#REF!</v>
          </cell>
          <cell r="J141" t="e">
            <v>#REF!</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HEIFER"/>
    </sheetNames>
    <sheetDataSet>
      <sheetData sheetId="0">
        <row r="1">
          <cell r="A1" t="str">
            <v>Dheifer 1</v>
          </cell>
          <cell r="C1" t="str">
            <v>DAIRY HEIFER BUDGET</v>
          </cell>
          <cell r="G1" t="str">
            <v>Revised: May '98</v>
          </cell>
        </row>
        <row r="2">
          <cell r="A2">
            <v>2</v>
          </cell>
          <cell r="F2" t="str">
            <v>Profit Per Heifer:</v>
          </cell>
          <cell r="H2">
            <v>88.045316167479072</v>
          </cell>
        </row>
        <row r="3">
          <cell r="A3" t="str">
            <v>=</v>
          </cell>
          <cell r="B3" t="str">
            <v>=</v>
          </cell>
          <cell r="C3" t="str">
            <v>=</v>
          </cell>
          <cell r="D3" t="str">
            <v>=</v>
          </cell>
          <cell r="E3" t="str">
            <v>=</v>
          </cell>
          <cell r="F3" t="str">
            <v>=</v>
          </cell>
          <cell r="G3" t="str">
            <v>=</v>
          </cell>
          <cell r="H3" t="str">
            <v>=</v>
          </cell>
        </row>
        <row r="4">
          <cell r="A4" t="str">
            <v>This budget is designed to analyze an operation with continuous dairy</v>
          </cell>
        </row>
        <row r="5">
          <cell r="A5" t="str">
            <v>heifer production.  All heifer purchases must be made at the beginning</v>
          </cell>
        </row>
        <row r="6">
          <cell r="A6" t="str">
            <v>of a production stage and all heifer sales must occur at the end of a</v>
          </cell>
        </row>
        <row r="7">
          <cell r="A7" t="str">
            <v xml:space="preserve">production stage.  Heifers are not kept in the operation after the </v>
          </cell>
        </row>
        <row r="8">
          <cell r="A8" t="str">
            <v>last month of the final stage.  Stages have to be less than or equal</v>
          </cell>
        </row>
        <row r="9">
          <cell r="A9" t="str">
            <v>to 12 months.</v>
          </cell>
        </row>
        <row r="10">
          <cell r="A10" t="str">
            <v>=</v>
          </cell>
          <cell r="B10" t="str">
            <v>=</v>
          </cell>
          <cell r="C10" t="str">
            <v>=</v>
          </cell>
          <cell r="D10" t="str">
            <v>=</v>
          </cell>
          <cell r="E10" t="str">
            <v>=</v>
          </cell>
          <cell r="F10" t="str">
            <v>=</v>
          </cell>
          <cell r="G10" t="str">
            <v>=</v>
          </cell>
          <cell r="H10" t="str">
            <v>=</v>
          </cell>
        </row>
        <row r="12">
          <cell r="A12" t="str">
            <v>Expected</v>
          </cell>
          <cell r="D12" t="str">
            <v>Stage 1</v>
          </cell>
          <cell r="F12" t="str">
            <v>Stage 2</v>
          </cell>
          <cell r="H12" t="str">
            <v>Stage 3</v>
          </cell>
        </row>
        <row r="13">
          <cell r="A13" t="str">
            <v>-</v>
          </cell>
          <cell r="D13" t="str">
            <v>-</v>
          </cell>
          <cell r="E13" t="str">
            <v>-</v>
          </cell>
          <cell r="F13" t="str">
            <v>-</v>
          </cell>
          <cell r="G13" t="str">
            <v>-</v>
          </cell>
          <cell r="H13" t="str">
            <v>-</v>
          </cell>
        </row>
        <row r="14">
          <cell r="A14" t="str">
            <v># Purchased per month</v>
          </cell>
          <cell r="D14">
            <v>0</v>
          </cell>
          <cell r="F14">
            <v>3</v>
          </cell>
          <cell r="H14">
            <v>0</v>
          </cell>
          <cell r="K14">
            <v>0</v>
          </cell>
        </row>
        <row r="15">
          <cell r="A15" t="str">
            <v>Monthly Transfer in</v>
          </cell>
          <cell r="D15">
            <v>10</v>
          </cell>
          <cell r="F15">
            <v>9.8000000000000007</v>
          </cell>
          <cell r="H15">
            <v>10.0352</v>
          </cell>
          <cell r="K15">
            <v>125964.074565677</v>
          </cell>
        </row>
        <row r="16">
          <cell r="A16" t="str">
            <v>Total Entering Stage</v>
          </cell>
          <cell r="D16">
            <v>10</v>
          </cell>
          <cell r="F16">
            <v>12.8</v>
          </cell>
          <cell r="H16">
            <v>10.0352</v>
          </cell>
          <cell r="K16">
            <v>6691.4480639999983</v>
          </cell>
        </row>
        <row r="17">
          <cell r="A17" t="str">
            <v>Beginning Value ($/head)</v>
          </cell>
          <cell r="D17">
            <v>125</v>
          </cell>
          <cell r="F17">
            <v>450</v>
          </cell>
          <cell r="H17">
            <v>900</v>
          </cell>
          <cell r="K17">
            <v>156910.3872</v>
          </cell>
        </row>
        <row r="18">
          <cell r="A18" t="str">
            <v>Beginning Age (months)</v>
          </cell>
          <cell r="D18">
            <v>0</v>
          </cell>
          <cell r="F18">
            <v>8</v>
          </cell>
          <cell r="H18">
            <v>17</v>
          </cell>
          <cell r="K18">
            <v>19919.584061976471</v>
          </cell>
        </row>
        <row r="19">
          <cell r="A19" t="str">
            <v>Ending Value ($/head)</v>
          </cell>
          <cell r="D19">
            <v>450</v>
          </cell>
          <cell r="F19">
            <v>900</v>
          </cell>
          <cell r="H19">
            <v>1100</v>
          </cell>
        </row>
        <row r="20">
          <cell r="A20" t="str">
            <v>Ending Age (months)</v>
          </cell>
          <cell r="D20">
            <v>7</v>
          </cell>
          <cell r="F20">
            <v>16</v>
          </cell>
          <cell r="H20">
            <v>24</v>
          </cell>
          <cell r="K20" t="str">
            <v>Tran!D3..G14</v>
          </cell>
        </row>
        <row r="21">
          <cell r="A21" t="str">
            <v>% Death Loss</v>
          </cell>
          <cell r="D21">
            <v>2</v>
          </cell>
          <cell r="F21">
            <v>2</v>
          </cell>
          <cell r="H21">
            <v>2</v>
          </cell>
          <cell r="K21" t="str">
            <v>Allo!C3..J14</v>
          </cell>
        </row>
        <row r="22">
          <cell r="A22" t="str">
            <v>% Sold at End of Stage</v>
          </cell>
          <cell r="D22">
            <v>0</v>
          </cell>
          <cell r="F22">
            <v>20</v>
          </cell>
          <cell r="H22">
            <v>100</v>
          </cell>
          <cell r="K22">
            <v>275.48159999999996</v>
          </cell>
        </row>
        <row r="23">
          <cell r="A23" t="str">
            <v># of Cattle in Stage</v>
          </cell>
          <cell r="D23">
            <v>80</v>
          </cell>
          <cell r="F23">
            <v>115.2</v>
          </cell>
          <cell r="H23">
            <v>80.281599999999997</v>
          </cell>
          <cell r="K23">
            <v>15938.578285714282</v>
          </cell>
        </row>
        <row r="24">
          <cell r="K24">
            <v>93082.853674376413</v>
          </cell>
        </row>
        <row r="25">
          <cell r="A25" t="str">
            <v>Total # of Cattle on Farm</v>
          </cell>
          <cell r="D25">
            <v>275.48159999999996</v>
          </cell>
          <cell r="K25">
            <v>2611.1720228571421</v>
          </cell>
        </row>
        <row r="26">
          <cell r="A26" t="str">
            <v>% Crop Transfers by Stage</v>
          </cell>
          <cell r="D26">
            <v>20</v>
          </cell>
          <cell r="F26">
            <v>34</v>
          </cell>
          <cell r="H26">
            <v>46</v>
          </cell>
          <cell r="K26">
            <v>761.50985142857132</v>
          </cell>
        </row>
        <row r="27">
          <cell r="K27">
            <v>375.83561142857138</v>
          </cell>
        </row>
        <row r="28">
          <cell r="A28" t="str">
            <v>Risk Ratings for all Stages</v>
          </cell>
          <cell r="K28">
            <v>66.902674285714269</v>
          </cell>
        </row>
        <row r="29">
          <cell r="A29" t="str">
            <v>2/3 chance of Death Loss  within + or -</v>
          </cell>
          <cell r="F29">
            <v>20</v>
          </cell>
          <cell r="G29" t="str">
            <v>%  of Expected</v>
          </cell>
        </row>
        <row r="30">
          <cell r="A30" t="str">
            <v>2/3 chance of Heifer Prices  within + or -</v>
          </cell>
          <cell r="F30">
            <v>5</v>
          </cell>
          <cell r="G30" t="str">
            <v>%  of Expected</v>
          </cell>
        </row>
        <row r="31">
          <cell r="A31" t="str">
            <v>2/3 chance of Sale Price  within + or -</v>
          </cell>
          <cell r="F31">
            <v>15</v>
          </cell>
          <cell r="G31" t="str">
            <v>%  of Expected</v>
          </cell>
        </row>
        <row r="32">
          <cell r="A32" t="str">
            <v>=</v>
          </cell>
          <cell r="B32" t="str">
            <v>=</v>
          </cell>
          <cell r="C32" t="str">
            <v>=</v>
          </cell>
          <cell r="D32" t="str">
            <v>=</v>
          </cell>
          <cell r="E32" t="str">
            <v>=</v>
          </cell>
          <cell r="F32" t="str">
            <v>=</v>
          </cell>
          <cell r="G32" t="str">
            <v>=</v>
          </cell>
          <cell r="H32" t="str">
            <v>=</v>
          </cell>
        </row>
        <row r="34">
          <cell r="A34" t="str">
            <v>EXPENSES</v>
          </cell>
        </row>
        <row r="35">
          <cell r="A35" t="str">
            <v>-</v>
          </cell>
        </row>
        <row r="36">
          <cell r="A36" t="str">
            <v xml:space="preserve"> Variable Expenses:</v>
          </cell>
        </row>
        <row r="37">
          <cell r="D37" t="str">
            <v xml:space="preserve"> |---- lbs/day/hd ----</v>
          </cell>
          <cell r="F37" t="str">
            <v>------|</v>
          </cell>
          <cell r="G37" t="str">
            <v>Avg. Feed</v>
          </cell>
        </row>
        <row r="38">
          <cell r="A38" t="str">
            <v>Purchased Feed:</v>
          </cell>
          <cell r="C38" t="str">
            <v>$/Tonne</v>
          </cell>
          <cell r="D38" t="str">
            <v>Stage 1</v>
          </cell>
          <cell r="E38" t="str">
            <v>Stage 2</v>
          </cell>
          <cell r="F38" t="str">
            <v>Stage 3</v>
          </cell>
          <cell r="G38" t="str">
            <v>lbs/Hd</v>
          </cell>
          <cell r="H38" t="str">
            <v>$/Year</v>
          </cell>
        </row>
        <row r="39">
          <cell r="C39" t="str">
            <v>-</v>
          </cell>
          <cell r="D39" t="str">
            <v>-</v>
          </cell>
          <cell r="E39" t="str">
            <v>-</v>
          </cell>
          <cell r="F39" t="str">
            <v>-</v>
          </cell>
          <cell r="G39" t="str">
            <v>-</v>
          </cell>
          <cell r="H39" t="str">
            <v>-</v>
          </cell>
        </row>
        <row r="40">
          <cell r="A40" t="str">
            <v xml:space="preserve"> Grain #1</v>
          </cell>
          <cell r="B40" t="str">
            <v xml:space="preserve">  Corn</v>
          </cell>
          <cell r="C40">
            <v>116</v>
          </cell>
          <cell r="D40">
            <v>2</v>
          </cell>
          <cell r="E40">
            <v>8</v>
          </cell>
          <cell r="F40">
            <v>19</v>
          </cell>
          <cell r="G40">
            <v>3454.0851222005399</v>
          </cell>
          <cell r="H40">
            <v>50058.176841723362</v>
          </cell>
          <cell r="I40">
            <v>0</v>
          </cell>
          <cell r="J40">
            <v>38.690000000000005</v>
          </cell>
          <cell r="K40">
            <v>93044.16367437641</v>
          </cell>
        </row>
        <row r="41">
          <cell r="A41" t="str">
            <v xml:space="preserve">       #2</v>
          </cell>
          <cell r="B41" t="str">
            <v xml:space="preserve">  Barley</v>
          </cell>
          <cell r="C41">
            <v>95</v>
          </cell>
          <cell r="D41">
            <v>0</v>
          </cell>
          <cell r="E41">
            <v>0</v>
          </cell>
          <cell r="F41">
            <v>0</v>
          </cell>
          <cell r="G41">
            <v>0</v>
          </cell>
          <cell r="H41">
            <v>0</v>
          </cell>
        </row>
        <row r="42">
          <cell r="A42" t="str">
            <v xml:space="preserve">       #3</v>
          </cell>
          <cell r="B42" t="str">
            <v xml:space="preserve">  Suppl.</v>
          </cell>
          <cell r="C42">
            <v>275</v>
          </cell>
          <cell r="D42">
            <v>1.5</v>
          </cell>
          <cell r="E42">
            <v>1.5</v>
          </cell>
          <cell r="F42">
            <v>1.5</v>
          </cell>
          <cell r="G42">
            <v>547.50000000000011</v>
          </cell>
          <cell r="H42">
            <v>18810.520816326531</v>
          </cell>
        </row>
        <row r="43">
          <cell r="A43" t="str">
            <v xml:space="preserve"> Forage#1</v>
          </cell>
          <cell r="B43" t="str">
            <v xml:space="preserve">  Silage</v>
          </cell>
          <cell r="C43">
            <v>18</v>
          </cell>
          <cell r="D43">
            <v>36</v>
          </cell>
          <cell r="E43">
            <v>33</v>
          </cell>
          <cell r="F43">
            <v>18</v>
          </cell>
          <cell r="G43">
            <v>10767.449121828828</v>
          </cell>
          <cell r="H43">
            <v>24214.156016326531</v>
          </cell>
        </row>
        <row r="44">
          <cell r="A44" t="str">
            <v xml:space="preserve">       #2</v>
          </cell>
          <cell r="B44" t="str">
            <v xml:space="preserve">  Haylage</v>
          </cell>
          <cell r="C44">
            <v>20</v>
          </cell>
          <cell r="D44">
            <v>0</v>
          </cell>
          <cell r="E44">
            <v>0</v>
          </cell>
          <cell r="F44">
            <v>0</v>
          </cell>
          <cell r="G44">
            <v>0</v>
          </cell>
          <cell r="H44">
            <v>0</v>
          </cell>
        </row>
        <row r="45">
          <cell r="A45" t="str">
            <v xml:space="preserve">       #3</v>
          </cell>
          <cell r="B45" t="str">
            <v xml:space="preserve">  Hay</v>
          </cell>
          <cell r="C45">
            <v>55</v>
          </cell>
          <cell r="D45">
            <v>0</v>
          </cell>
          <cell r="E45">
            <v>0</v>
          </cell>
          <cell r="F45">
            <v>0</v>
          </cell>
          <cell r="G45">
            <v>0</v>
          </cell>
          <cell r="H45">
            <v>0</v>
          </cell>
        </row>
        <row r="46">
          <cell r="A46" t="str">
            <v xml:space="preserve">  Other -</v>
          </cell>
          <cell r="B46" t="str">
            <v xml:space="preserve">  Mineral</v>
          </cell>
          <cell r="C46">
            <v>0</v>
          </cell>
          <cell r="D46">
            <v>0</v>
          </cell>
          <cell r="E46">
            <v>0</v>
          </cell>
          <cell r="F46">
            <v>0</v>
          </cell>
          <cell r="G46">
            <v>0</v>
          </cell>
          <cell r="H46">
            <v>0</v>
          </cell>
        </row>
        <row r="47">
          <cell r="I47">
            <v>0</v>
          </cell>
          <cell r="J47">
            <v>0</v>
          </cell>
          <cell r="K47">
            <v>0</v>
          </cell>
        </row>
        <row r="52">
          <cell r="A52" t="str">
            <v>Homegrown Feed: *</v>
          </cell>
        </row>
        <row r="53">
          <cell r="A53" t="str">
            <v xml:space="preserve"> Crop Transfers (based on </v>
          </cell>
          <cell r="D53">
            <v>280</v>
          </cell>
          <cell r="E53" t="str">
            <v>head)</v>
          </cell>
          <cell r="G53">
            <v>0</v>
          </cell>
          <cell r="H53">
            <v>0</v>
          </cell>
        </row>
        <row r="54">
          <cell r="B54" t="str">
            <v>(from transfer table)</v>
          </cell>
        </row>
        <row r="55">
          <cell r="A55" t="str">
            <v>=</v>
          </cell>
          <cell r="B55" t="str">
            <v>=</v>
          </cell>
          <cell r="C55" t="str">
            <v>=</v>
          </cell>
          <cell r="D55" t="str">
            <v>=</v>
          </cell>
          <cell r="E55" t="str">
            <v>=</v>
          </cell>
          <cell r="F55" t="str">
            <v>=</v>
          </cell>
          <cell r="G55" t="str">
            <v>=</v>
          </cell>
          <cell r="H55" t="str">
            <v>=</v>
          </cell>
        </row>
        <row r="56">
          <cell r="D56" t="str">
            <v xml:space="preserve"> |------- lbs/day/hd ----|</v>
          </cell>
          <cell r="G56" t="str">
            <v>Tot. Feed</v>
          </cell>
        </row>
        <row r="57">
          <cell r="A57" t="str">
            <v xml:space="preserve">   - or -</v>
          </cell>
          <cell r="C57" t="str">
            <v>$/Tonne</v>
          </cell>
          <cell r="D57" t="str">
            <v>Stage 1</v>
          </cell>
          <cell r="E57" t="str">
            <v>Stage 2</v>
          </cell>
          <cell r="F57" t="str">
            <v>Stage 3</v>
          </cell>
          <cell r="G57" t="str">
            <v>lbs/Hd</v>
          </cell>
          <cell r="H57" t="str">
            <v>$/Year</v>
          </cell>
        </row>
        <row r="58">
          <cell r="C58" t="str">
            <v>-</v>
          </cell>
          <cell r="D58" t="str">
            <v>-</v>
          </cell>
          <cell r="E58" t="str">
            <v>-</v>
          </cell>
          <cell r="F58" t="str">
            <v>-</v>
          </cell>
          <cell r="G58" t="str">
            <v>-</v>
          </cell>
          <cell r="H58" t="str">
            <v>-</v>
          </cell>
        </row>
        <row r="59">
          <cell r="B59" t="str">
            <v>*** (Input ONLY if NOT using Crop Transfer table) ***</v>
          </cell>
        </row>
        <row r="60">
          <cell r="A60" t="str">
            <v xml:space="preserve"> Grain #1</v>
          </cell>
          <cell r="B60" t="str">
            <v xml:space="preserve">  Corn</v>
          </cell>
          <cell r="C60">
            <v>100</v>
          </cell>
          <cell r="D60">
            <v>0</v>
          </cell>
          <cell r="E60">
            <v>0</v>
          </cell>
          <cell r="F60">
            <v>0</v>
          </cell>
          <cell r="G60">
            <v>0</v>
          </cell>
          <cell r="H60">
            <v>0</v>
          </cell>
        </row>
        <row r="61">
          <cell r="A61" t="str">
            <v xml:space="preserve">       #2</v>
          </cell>
          <cell r="B61" t="str">
            <v xml:space="preserve">  Barley</v>
          </cell>
          <cell r="C61">
            <v>100</v>
          </cell>
          <cell r="D61">
            <v>0</v>
          </cell>
          <cell r="E61">
            <v>0</v>
          </cell>
          <cell r="F61">
            <v>0</v>
          </cell>
          <cell r="G61">
            <v>0</v>
          </cell>
          <cell r="H61">
            <v>0</v>
          </cell>
        </row>
        <row r="62">
          <cell r="A62" t="str">
            <v xml:space="preserve">       #3</v>
          </cell>
          <cell r="B62" t="str">
            <v xml:space="preserve">  Suppl.</v>
          </cell>
          <cell r="C62">
            <v>290</v>
          </cell>
          <cell r="D62">
            <v>0</v>
          </cell>
          <cell r="E62">
            <v>0</v>
          </cell>
          <cell r="F62">
            <v>0</v>
          </cell>
          <cell r="G62">
            <v>0</v>
          </cell>
          <cell r="H62">
            <v>0</v>
          </cell>
        </row>
        <row r="63">
          <cell r="A63" t="str">
            <v xml:space="preserve"> Forage#1</v>
          </cell>
          <cell r="B63" t="str">
            <v xml:space="preserve">  Silage</v>
          </cell>
          <cell r="C63">
            <v>20</v>
          </cell>
          <cell r="D63">
            <v>0</v>
          </cell>
          <cell r="E63">
            <v>0</v>
          </cell>
          <cell r="F63">
            <v>0</v>
          </cell>
          <cell r="G63">
            <v>0</v>
          </cell>
          <cell r="H63">
            <v>0</v>
          </cell>
        </row>
        <row r="64">
          <cell r="A64" t="str">
            <v xml:space="preserve">       #2</v>
          </cell>
          <cell r="B64" t="str">
            <v xml:space="preserve">  Haylage</v>
          </cell>
          <cell r="C64">
            <v>20</v>
          </cell>
          <cell r="D64">
            <v>0</v>
          </cell>
          <cell r="E64">
            <v>0</v>
          </cell>
          <cell r="F64">
            <v>0</v>
          </cell>
          <cell r="G64">
            <v>0</v>
          </cell>
          <cell r="H64">
            <v>0</v>
          </cell>
        </row>
        <row r="65">
          <cell r="A65" t="str">
            <v xml:space="preserve">       #3</v>
          </cell>
          <cell r="B65" t="str">
            <v xml:space="preserve">  Hay</v>
          </cell>
          <cell r="C65">
            <v>55</v>
          </cell>
          <cell r="D65">
            <v>0</v>
          </cell>
          <cell r="E65">
            <v>0</v>
          </cell>
          <cell r="F65">
            <v>0</v>
          </cell>
          <cell r="G65">
            <v>0</v>
          </cell>
          <cell r="H65">
            <v>0</v>
          </cell>
        </row>
        <row r="66">
          <cell r="A66" t="str">
            <v>Feed Quantity</v>
          </cell>
          <cell r="D66">
            <v>39.5</v>
          </cell>
          <cell r="E66">
            <v>42.5</v>
          </cell>
          <cell r="F66">
            <v>38.5</v>
          </cell>
          <cell r="G66">
            <v>14769.034244029368</v>
          </cell>
        </row>
        <row r="68">
          <cell r="A68" t="str">
            <v>Total Feed Cost</v>
          </cell>
          <cell r="D68">
            <v>0.58627415404154948</v>
          </cell>
          <cell r="E68">
            <v>0.87748344370860931</v>
          </cell>
          <cell r="F68">
            <v>1.3338020502585504</v>
          </cell>
          <cell r="H68">
            <v>93082.853674376413</v>
          </cell>
        </row>
        <row r="70">
          <cell r="A70" t="str">
            <v>Number of Head to Base Following Variable Costs on ==&gt; **</v>
          </cell>
          <cell r="H70">
            <v>280</v>
          </cell>
        </row>
        <row r="72">
          <cell r="A72" t="str">
            <v xml:space="preserve">Variable cost (excluding feed) &amp; Fixed costs allocated to each Stage </v>
          </cell>
        </row>
        <row r="73">
          <cell r="D73" t="str">
            <v>Stage 1</v>
          </cell>
          <cell r="F73" t="str">
            <v>Stage 2</v>
          </cell>
          <cell r="H73" t="str">
            <v>Stage 3</v>
          </cell>
        </row>
        <row r="74">
          <cell r="A74" t="str">
            <v xml:space="preserve">   Percent Allocated</v>
          </cell>
          <cell r="D74">
            <v>20</v>
          </cell>
          <cell r="F74">
            <v>35</v>
          </cell>
          <cell r="H74">
            <v>45</v>
          </cell>
        </row>
        <row r="76">
          <cell r="A76" t="str">
            <v xml:space="preserve">   ** (You MUST enter here, the herd size you used to</v>
          </cell>
        </row>
        <row r="77">
          <cell r="A77" t="str">
            <v xml:space="preserve">       determine your variable costs!!)</v>
          </cell>
        </row>
        <row r="79">
          <cell r="E79" t="str">
            <v>Typical</v>
          </cell>
          <cell r="F79" t="str">
            <v>$/Year</v>
          </cell>
          <cell r="H79" t="str">
            <v>$/Year</v>
          </cell>
        </row>
        <row r="80">
          <cell r="E80" t="str">
            <v>$/Heifer</v>
          </cell>
          <cell r="F80" t="str">
            <v>280 Head</v>
          </cell>
          <cell r="G80" t="str">
            <v>$/Head</v>
          </cell>
          <cell r="H80" t="str">
            <v xml:space="preserve"> 275 Head</v>
          </cell>
        </row>
        <row r="81">
          <cell r="E81" t="str">
            <v>-</v>
          </cell>
          <cell r="F81" t="str">
            <v>-</v>
          </cell>
          <cell r="G81" t="str">
            <v>-</v>
          </cell>
          <cell r="H81" t="str">
            <v>-</v>
          </cell>
        </row>
        <row r="82">
          <cell r="A82" t="str">
            <v xml:space="preserve"> Hired Labour</v>
          </cell>
          <cell r="E82">
            <v>0.74</v>
          </cell>
          <cell r="F82">
            <v>74</v>
          </cell>
          <cell r="G82">
            <v>0.26428571428571429</v>
          </cell>
          <cell r="H82">
            <v>72.805851428571415</v>
          </cell>
        </row>
        <row r="83">
          <cell r="A83" t="str">
            <v xml:space="preserve"> Insurance on Livestock</v>
          </cell>
          <cell r="E83">
            <v>3</v>
          </cell>
          <cell r="F83">
            <v>300</v>
          </cell>
          <cell r="G83">
            <v>1.0714285714285714</v>
          </cell>
          <cell r="H83">
            <v>295.15885714285707</v>
          </cell>
        </row>
        <row r="84">
          <cell r="A84" t="str">
            <v xml:space="preserve"> Vet, Medicine</v>
          </cell>
          <cell r="E84">
            <v>2.54</v>
          </cell>
          <cell r="F84">
            <v>254</v>
          </cell>
          <cell r="G84">
            <v>0.90714285714285714</v>
          </cell>
          <cell r="H84">
            <v>249.90116571428567</v>
          </cell>
        </row>
        <row r="85">
          <cell r="A85" t="str">
            <v xml:space="preserve"> Breeding Fees</v>
          </cell>
          <cell r="E85">
            <v>24</v>
          </cell>
          <cell r="F85">
            <v>2400</v>
          </cell>
          <cell r="G85">
            <v>8.5714285714285712</v>
          </cell>
          <cell r="H85">
            <v>2361.2708571428566</v>
          </cell>
        </row>
        <row r="86">
          <cell r="A86" t="str">
            <v xml:space="preserve"> Marketing Fees</v>
          </cell>
          <cell r="E86">
            <v>2</v>
          </cell>
          <cell r="F86">
            <v>200</v>
          </cell>
          <cell r="G86">
            <v>0.7142857142857143</v>
          </cell>
          <cell r="H86">
            <v>196.77257142857141</v>
          </cell>
        </row>
        <row r="87">
          <cell r="A87" t="str">
            <v xml:space="preserve"> Trucking</v>
          </cell>
          <cell r="E87">
            <v>1.82</v>
          </cell>
          <cell r="F87">
            <v>182</v>
          </cell>
          <cell r="G87">
            <v>0.65</v>
          </cell>
          <cell r="H87">
            <v>179.06303999999997</v>
          </cell>
        </row>
        <row r="88">
          <cell r="A88" t="str">
            <v xml:space="preserve"> Bedding</v>
          </cell>
          <cell r="E88">
            <v>2</v>
          </cell>
          <cell r="F88">
            <v>200</v>
          </cell>
          <cell r="G88">
            <v>0.7142857142857143</v>
          </cell>
          <cell r="H88">
            <v>196.77257142857141</v>
          </cell>
        </row>
        <row r="89">
          <cell r="A89" t="str">
            <v xml:space="preserve"> Custom Work</v>
          </cell>
          <cell r="E89">
            <v>0.48</v>
          </cell>
          <cell r="F89">
            <v>48</v>
          </cell>
          <cell r="G89">
            <v>0.17142857142857143</v>
          </cell>
          <cell r="H89">
            <v>47.225417142857133</v>
          </cell>
          <cell r="K89" t="str">
            <v>Wfarm!L4</v>
          </cell>
        </row>
        <row r="90">
          <cell r="A90" t="str">
            <v xml:space="preserve"> Equipment Rentals</v>
          </cell>
          <cell r="E90">
            <v>0.2</v>
          </cell>
          <cell r="F90">
            <v>20</v>
          </cell>
          <cell r="G90">
            <v>7.1428571428571425E-2</v>
          </cell>
          <cell r="H90">
            <v>19.67725714285714</v>
          </cell>
          <cell r="K90" t="str">
            <v>Wfarm!L5</v>
          </cell>
        </row>
        <row r="91">
          <cell r="A91" t="str">
            <v xml:space="preserve"> Other</v>
          </cell>
          <cell r="E91">
            <v>2</v>
          </cell>
          <cell r="F91">
            <v>200</v>
          </cell>
          <cell r="G91">
            <v>0.7142857142857143</v>
          </cell>
          <cell r="H91">
            <v>196.77257142857141</v>
          </cell>
          <cell r="K91" t="str">
            <v>Wfarm!L6</v>
          </cell>
        </row>
        <row r="92">
          <cell r="A92" t="str">
            <v xml:space="preserve"> Expected Cost of Heifers</v>
          </cell>
          <cell r="F92">
            <v>16200</v>
          </cell>
          <cell r="G92">
            <v>57.857142857142854</v>
          </cell>
          <cell r="H92">
            <v>15938.578285714282</v>
          </cell>
          <cell r="K92" t="str">
            <v>Wfarm!L7</v>
          </cell>
        </row>
        <row r="93">
          <cell r="K93" t="str">
            <v>Wfarm!L8</v>
          </cell>
        </row>
        <row r="95">
          <cell r="I95">
            <v>8045.6063999999997</v>
          </cell>
        </row>
        <row r="96">
          <cell r="I96">
            <v>2957.7211975863211</v>
          </cell>
          <cell r="K96" t="str">
            <v>Wfarm!L9</v>
          </cell>
        </row>
        <row r="101">
          <cell r="D101" t="str">
            <v>Typical</v>
          </cell>
          <cell r="E101" t="str">
            <v xml:space="preserve"> Enterprise</v>
          </cell>
          <cell r="G101" t="str">
            <v xml:space="preserve"> $/Heifer</v>
          </cell>
          <cell r="H101" t="str">
            <v>$/Year</v>
          </cell>
        </row>
        <row r="102">
          <cell r="D102" t="str">
            <v xml:space="preserve"> $/Heifer</v>
          </cell>
          <cell r="E102" t="str">
            <v xml:space="preserve"> $ Allocated</v>
          </cell>
          <cell r="G102" t="str">
            <v>Purchased</v>
          </cell>
          <cell r="H102" t="str">
            <v xml:space="preserve"> 275 Head</v>
          </cell>
        </row>
        <row r="103">
          <cell r="D103" t="str">
            <v>-</v>
          </cell>
          <cell r="E103" t="str">
            <v>-</v>
          </cell>
          <cell r="F103" t="str">
            <v>---</v>
          </cell>
          <cell r="G103" t="str">
            <v>-</v>
          </cell>
          <cell r="H103" t="str">
            <v>-</v>
          </cell>
        </row>
        <row r="104">
          <cell r="A104" t="str">
            <v xml:space="preserve"> Fuel</v>
          </cell>
          <cell r="D104">
            <v>0.44</v>
          </cell>
          <cell r="E104">
            <v>0</v>
          </cell>
          <cell r="G104">
            <v>0.44</v>
          </cell>
          <cell r="H104">
            <v>121.21190399999998</v>
          </cell>
        </row>
        <row r="105">
          <cell r="A105" t="str">
            <v xml:space="preserve"> Mach. Repair &amp; Maint.</v>
          </cell>
          <cell r="D105">
            <v>2.91</v>
          </cell>
          <cell r="E105">
            <v>0</v>
          </cell>
          <cell r="G105">
            <v>2.91</v>
          </cell>
          <cell r="H105">
            <v>801.65145599999994</v>
          </cell>
          <cell r="K105" t="str">
            <v>Wfarm!K4</v>
          </cell>
        </row>
        <row r="106">
          <cell r="A106" t="str">
            <v xml:space="preserve"> Bldg. Repair &amp; Maint.</v>
          </cell>
          <cell r="D106">
            <v>1.17</v>
          </cell>
          <cell r="E106">
            <v>0</v>
          </cell>
          <cell r="G106">
            <v>1.17</v>
          </cell>
          <cell r="H106">
            <v>322.31347199999993</v>
          </cell>
          <cell r="K106" t="str">
            <v>Wfarm!K5</v>
          </cell>
        </row>
        <row r="107">
          <cell r="A107" t="str">
            <v xml:space="preserve"> Rent and Labour</v>
          </cell>
          <cell r="D107">
            <v>0</v>
          </cell>
          <cell r="E107">
            <v>0</v>
          </cell>
          <cell r="G107">
            <v>0</v>
          </cell>
          <cell r="H107">
            <v>0</v>
          </cell>
          <cell r="K107" t="str">
            <v>Wfarm!K6</v>
          </cell>
        </row>
        <row r="108">
          <cell r="A108" t="str">
            <v xml:space="preserve"> General Variable Costs</v>
          </cell>
          <cell r="D108">
            <v>2.0099999999999998</v>
          </cell>
          <cell r="E108">
            <v>0</v>
          </cell>
          <cell r="G108">
            <v>2.0099999999999998</v>
          </cell>
          <cell r="H108">
            <v>553.71801599999981</v>
          </cell>
          <cell r="K108" t="str">
            <v>Wfarm!K7</v>
          </cell>
        </row>
        <row r="109">
          <cell r="A109" t="str">
            <v xml:space="preserve"> Interest on </v>
          </cell>
          <cell r="D109" t="str">
            <v>% int</v>
          </cell>
        </row>
        <row r="110">
          <cell r="A110" t="str">
            <v xml:space="preserve"> Operating Capital</v>
          </cell>
          <cell r="D110">
            <v>6</v>
          </cell>
          <cell r="E110">
            <v>0</v>
          </cell>
          <cell r="G110">
            <v>39.942150755572506</v>
          </cell>
          <cell r="H110">
            <v>11003.327597586322</v>
          </cell>
          <cell r="I110">
            <v>0</v>
          </cell>
        </row>
        <row r="111">
          <cell r="A111" t="str">
            <v>Total Variable Costs</v>
          </cell>
          <cell r="G111">
            <v>457.25041006614242</v>
          </cell>
          <cell r="H111">
            <v>125964.074565677</v>
          </cell>
          <cell r="I111">
            <v>27095.040000000001</v>
          </cell>
        </row>
        <row r="112">
          <cell r="I112">
            <v>129815.34719999999</v>
          </cell>
        </row>
        <row r="113">
          <cell r="D113" t="str">
            <v>Typical</v>
          </cell>
          <cell r="E113" t="str">
            <v xml:space="preserve"> Enterprise</v>
          </cell>
          <cell r="G113" t="str">
            <v xml:space="preserve"> $/Heifer</v>
          </cell>
          <cell r="H113" t="str">
            <v>$/Year</v>
          </cell>
        </row>
        <row r="114">
          <cell r="A114" t="str">
            <v>Fixed Costs:</v>
          </cell>
          <cell r="D114" t="str">
            <v xml:space="preserve"> $/Heifer</v>
          </cell>
          <cell r="E114" t="str">
            <v xml:space="preserve"> $ Allocated</v>
          </cell>
          <cell r="G114" t="str">
            <v>Purchased</v>
          </cell>
          <cell r="H114" t="str">
            <v xml:space="preserve"> 275 Head</v>
          </cell>
        </row>
        <row r="115">
          <cell r="D115" t="str">
            <v>-</v>
          </cell>
          <cell r="E115" t="str">
            <v>-</v>
          </cell>
          <cell r="F115" t="str">
            <v>---</v>
          </cell>
          <cell r="G115" t="str">
            <v>-</v>
          </cell>
          <cell r="H115" t="str">
            <v>-</v>
          </cell>
        </row>
        <row r="116">
          <cell r="A116" t="str">
            <v xml:space="preserve"> Depreciation</v>
          </cell>
          <cell r="D116">
            <v>12.52</v>
          </cell>
          <cell r="E116">
            <v>0</v>
          </cell>
          <cell r="G116">
            <v>12.52</v>
          </cell>
          <cell r="H116">
            <v>3449.0296319999993</v>
          </cell>
        </row>
        <row r="117">
          <cell r="A117" t="str">
            <v xml:space="preserve"> Interest on Term Loans</v>
          </cell>
          <cell r="D117">
            <v>3.57</v>
          </cell>
          <cell r="E117">
            <v>0</v>
          </cell>
          <cell r="G117">
            <v>3.57</v>
          </cell>
          <cell r="H117">
            <v>983.46931199999983</v>
          </cell>
        </row>
        <row r="118">
          <cell r="A118" t="str">
            <v xml:space="preserve"> Long-term Leases</v>
          </cell>
          <cell r="D118">
            <v>0</v>
          </cell>
          <cell r="E118">
            <v>0</v>
          </cell>
          <cell r="G118">
            <v>0</v>
          </cell>
          <cell r="H118">
            <v>0</v>
          </cell>
        </row>
        <row r="119">
          <cell r="A119" t="str">
            <v xml:space="preserve"> General Fixed Costs</v>
          </cell>
          <cell r="D119">
            <v>8.1999999999999993</v>
          </cell>
          <cell r="E119">
            <v>0</v>
          </cell>
          <cell r="G119">
            <v>8.1999999999999993</v>
          </cell>
          <cell r="H119">
            <v>2258.9491199999993</v>
          </cell>
        </row>
        <row r="120">
          <cell r="A120" t="str">
            <v>Total Fixed Costs</v>
          </cell>
          <cell r="G120">
            <v>24.29</v>
          </cell>
          <cell r="H120">
            <v>6691.4480639999983</v>
          </cell>
          <cell r="I120">
            <v>0</v>
          </cell>
        </row>
        <row r="121">
          <cell r="I121">
            <v>30.105599999999999</v>
          </cell>
        </row>
        <row r="122">
          <cell r="A122" t="str">
            <v>Revenues:</v>
          </cell>
          <cell r="E122" t="str">
            <v>$/Heifer</v>
          </cell>
          <cell r="F122" t="str">
            <v>$/Year</v>
          </cell>
          <cell r="I122">
            <v>118.01395199999999</v>
          </cell>
        </row>
        <row r="123">
          <cell r="E123" t="str">
            <v>-</v>
          </cell>
          <cell r="F123" t="str">
            <v>-</v>
          </cell>
        </row>
        <row r="124">
          <cell r="A124" t="str">
            <v>Total Expected Revenues</v>
          </cell>
          <cell r="E124">
            <v>569.58572623362147</v>
          </cell>
          <cell r="F124">
            <v>156910.3872</v>
          </cell>
          <cell r="I124">
            <v>0</v>
          </cell>
          <cell r="J124" t="str">
            <v>sumother</v>
          </cell>
          <cell r="K124">
            <v>13445.66875415775</v>
          </cell>
        </row>
        <row r="125">
          <cell r="A125" t="str">
            <v xml:space="preserve">    less: Variable Costs</v>
          </cell>
          <cell r="E125">
            <v>457.25041006614242</v>
          </cell>
          <cell r="F125">
            <v>125964.074565677</v>
          </cell>
          <cell r="I125">
            <v>27095.040000000001</v>
          </cell>
          <cell r="J125" t="str">
            <v>vcost1</v>
          </cell>
          <cell r="K125">
            <v>19076.353499402976</v>
          </cell>
        </row>
        <row r="126">
          <cell r="A126" t="str">
            <v>Expected Operating Margin</v>
          </cell>
          <cell r="E126">
            <v>112.33531616747906</v>
          </cell>
          <cell r="F126">
            <v>30946.312634322996</v>
          </cell>
          <cell r="I126">
            <v>129815.34719999999</v>
          </cell>
          <cell r="J126" t="str">
            <v>vcost2</v>
          </cell>
          <cell r="K126">
            <v>4744.6740639552117</v>
          </cell>
        </row>
        <row r="127">
          <cell r="A127" t="str">
            <v xml:space="preserve">    less: Fixed Costs</v>
          </cell>
          <cell r="E127">
            <v>24.29</v>
          </cell>
          <cell r="F127">
            <v>6691.4480639999983</v>
          </cell>
          <cell r="I127">
            <v>410176.91980431357</v>
          </cell>
          <cell r="J127" t="str">
            <v>vcost3</v>
          </cell>
          <cell r="K127">
            <v>99094.714613747405</v>
          </cell>
        </row>
        <row r="128">
          <cell r="A128" t="str">
            <v>Expected Net Revenue</v>
          </cell>
          <cell r="E128">
            <v>88.045316167479072</v>
          </cell>
          <cell r="F128">
            <v>24254.864570322999</v>
          </cell>
          <cell r="I128">
            <v>410176.91980431357</v>
          </cell>
        </row>
        <row r="129">
          <cell r="I129">
            <v>280750.09360527364</v>
          </cell>
        </row>
        <row r="130">
          <cell r="A130" t="str">
            <v>Break-even dollars/head</v>
          </cell>
          <cell r="D130" t="str">
            <v>Needed to Cover:</v>
          </cell>
          <cell r="F130" t="str">
            <v>Variable Costs</v>
          </cell>
          <cell r="G130" t="str">
            <v>Total</v>
          </cell>
          <cell r="I130">
            <v>0.140625</v>
          </cell>
        </row>
        <row r="131">
          <cell r="F131" t="str">
            <v>Costs</v>
          </cell>
          <cell r="G131" t="str">
            <v>Costs</v>
          </cell>
          <cell r="I131">
            <v>395688725.12830824</v>
          </cell>
        </row>
        <row r="132">
          <cell r="F132" t="str">
            <v>-</v>
          </cell>
          <cell r="G132" t="str">
            <v>-</v>
          </cell>
        </row>
        <row r="133">
          <cell r="D133" t="str">
            <v xml:space="preserve">     Stage 1</v>
          </cell>
          <cell r="F133">
            <v>156.95095871915399</v>
          </cell>
          <cell r="G133">
            <v>205.74276751915397</v>
          </cell>
          <cell r="I133">
            <v>19919.584061976471</v>
          </cell>
          <cell r="J133" t="str">
            <v>$/Hd</v>
          </cell>
          <cell r="K133">
            <v>673.7462380645278</v>
          </cell>
        </row>
        <row r="134">
          <cell r="D134" t="str">
            <v xml:space="preserve">     Stage 2</v>
          </cell>
          <cell r="F134">
            <v>501.36383943061458</v>
          </cell>
          <cell r="G134">
            <v>540.08749720839239</v>
          </cell>
          <cell r="I134">
            <v>553.32177949934646</v>
          </cell>
          <cell r="J134" t="str">
            <v>BEcatpur</v>
          </cell>
        </row>
        <row r="135">
          <cell r="D135" t="str">
            <v xml:space="preserve">     Stage 3</v>
          </cell>
          <cell r="F135">
            <v>984.42312171758306</v>
          </cell>
          <cell r="G135">
            <v>1033.043785780083</v>
          </cell>
        </row>
        <row r="136">
          <cell r="A136" t="str">
            <v>=</v>
          </cell>
          <cell r="B136" t="str">
            <v>=</v>
          </cell>
          <cell r="C136" t="str">
            <v>=</v>
          </cell>
          <cell r="D136" t="str">
            <v>=</v>
          </cell>
          <cell r="E136" t="str">
            <v>=</v>
          </cell>
          <cell r="F136" t="str">
            <v>=</v>
          </cell>
          <cell r="G136" t="str">
            <v>=</v>
          </cell>
          <cell r="H136" t="str">
            <v>=</v>
          </cell>
          <cell r="J136" t="str">
            <v xml:space="preserve"> +profit</v>
          </cell>
          <cell r="K136" t="str">
            <v xml:space="preserve"> ¬ price</v>
          </cell>
        </row>
        <row r="137">
          <cell r="B137" t="str">
            <v>Chance of at least breaking even       ==&gt;</v>
          </cell>
          <cell r="G137">
            <v>0.88831936355520003</v>
          </cell>
        </row>
        <row r="138">
          <cell r="B138" t="str">
            <v>Chance of at least</v>
          </cell>
          <cell r="D138">
            <v>110</v>
          </cell>
          <cell r="E138" t="str">
            <v>$/hd return ==&gt;</v>
          </cell>
          <cell r="G138">
            <v>0.84586046760787337</v>
          </cell>
          <cell r="I138">
            <v>1.2176391080686235</v>
          </cell>
          <cell r="J138">
            <v>1.0188397763316195</v>
          </cell>
          <cell r="K138">
            <v>1.2176391080686235</v>
          </cell>
        </row>
        <row r="139">
          <cell r="B139" t="str">
            <v>Coefficient of variation               ==&gt;</v>
          </cell>
          <cell r="G139">
            <v>0.97144600718522189</v>
          </cell>
          <cell r="I139">
            <v>0.77999698572059428</v>
          </cell>
          <cell r="J139">
            <v>0.80905757326321215</v>
          </cell>
          <cell r="K139">
            <v>0.77999698572059428</v>
          </cell>
        </row>
        <row r="140">
          <cell r="I140">
            <v>0.19008935451451905</v>
          </cell>
          <cell r="J140">
            <v>0.23741258732550044</v>
          </cell>
          <cell r="K140">
            <v>0.19008935451451905</v>
          </cell>
        </row>
        <row r="141">
          <cell r="C141" t="str">
            <v>Returns: $ per</v>
          </cell>
          <cell r="E141" t="str">
            <v>Chances of at least</v>
          </cell>
          <cell r="I141">
            <v>0.11168063644479999</v>
          </cell>
          <cell r="J141">
            <v>0.15413953239212663</v>
          </cell>
          <cell r="K141">
            <v>0.11168063644479999</v>
          </cell>
        </row>
        <row r="142">
          <cell r="C142" t="str">
            <v>heifer purchased</v>
          </cell>
          <cell r="E142" t="str">
            <v>this return per head</v>
          </cell>
        </row>
        <row r="144">
          <cell r="C144">
            <v>1210.4683641788938</v>
          </cell>
          <cell r="E144" t="str">
            <v xml:space="preserve">       17 %</v>
          </cell>
        </row>
        <row r="145">
          <cell r="C145">
            <v>911.67460324924673</v>
          </cell>
          <cell r="E145" t="str">
            <v xml:space="preserve">       33 %</v>
          </cell>
        </row>
        <row r="146">
          <cell r="C146">
            <v>673.7462380645278</v>
          </cell>
          <cell r="E146" t="str">
            <v xml:space="preserve">       50 %</v>
          </cell>
        </row>
        <row r="147">
          <cell r="C147">
            <v>435.81787287980882</v>
          </cell>
          <cell r="E147" t="str">
            <v xml:space="preserve">       67 %</v>
          </cell>
        </row>
        <row r="148">
          <cell r="C148">
            <v>137.0241119501618</v>
          </cell>
          <cell r="E148" t="str">
            <v xml:space="preserve">       83 %</v>
          </cell>
        </row>
        <row r="149">
          <cell r="D149" t="str">
            <v>- End of Budget -</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urkey"/>
    </sheetNames>
    <sheetDataSet>
      <sheetData sheetId="0">
        <row r="1">
          <cell r="A1" t="str">
            <v>Turkey 1</v>
          </cell>
          <cell r="C1" t="str">
            <v>TURKEY ENTERPRISE BUDGET</v>
          </cell>
          <cell r="G1" t="str">
            <v>Revised: May '98</v>
          </cell>
        </row>
        <row r="2">
          <cell r="A2">
            <v>354</v>
          </cell>
          <cell r="F2" t="str">
            <v>Profit / Kilogram:</v>
          </cell>
          <cell r="H2">
            <v>0</v>
          </cell>
        </row>
        <row r="3">
          <cell r="G3" t="str">
            <v>Revised: July 94</v>
          </cell>
        </row>
        <row r="5">
          <cell r="A5" t="str">
            <v>Basic quota units per year</v>
          </cell>
          <cell r="E5">
            <v>230000</v>
          </cell>
          <cell r="F5" t="str">
            <v>Kgs</v>
          </cell>
        </row>
        <row r="6">
          <cell r="A6" t="str">
            <v>Percentage of Quota Eligible</v>
          </cell>
          <cell r="E6">
            <v>70.25</v>
          </cell>
          <cell r="F6" t="str">
            <v>%</v>
          </cell>
        </row>
        <row r="7">
          <cell r="A7" t="str">
            <v>Required end-weight range</v>
          </cell>
          <cell r="E7">
            <v>9.1999999999999993</v>
          </cell>
          <cell r="F7" t="str">
            <v xml:space="preserve">kg </v>
          </cell>
        </row>
        <row r="8">
          <cell r="A8" t="str">
            <v>Calculated total annual production:</v>
          </cell>
          <cell r="E8">
            <v>0</v>
          </cell>
          <cell r="F8" t="str">
            <v xml:space="preserve">kg </v>
          </cell>
        </row>
        <row r="10">
          <cell r="A10" t="str">
            <v>Number of cycles</v>
          </cell>
          <cell r="E10">
            <v>3</v>
          </cell>
          <cell r="F10" t="str">
            <v>per year</v>
          </cell>
        </row>
        <row r="11">
          <cell r="A11" t="str">
            <v>Weeks per cycle (incl.cleanout)</v>
          </cell>
          <cell r="E11">
            <v>17</v>
          </cell>
          <cell r="F11" t="str">
            <v>weeks/cycle</v>
          </cell>
        </row>
        <row r="12">
          <cell r="A12" t="str">
            <v>Total number weeks/year (max.54)</v>
          </cell>
          <cell r="E12">
            <v>0</v>
          </cell>
          <cell r="F12" t="str">
            <v>weeks/year</v>
          </cell>
        </row>
        <row r="13">
          <cell r="A13" t="str">
            <v>Total birds marketed</v>
          </cell>
          <cell r="E13">
            <v>0</v>
          </cell>
        </row>
        <row r="14">
          <cell r="K14">
            <v>0</v>
          </cell>
        </row>
        <row r="15">
          <cell r="A15" t="str">
            <v>&lt;&lt;Weight Range Info &gt;&gt;</v>
          </cell>
          <cell r="E15" t="str">
            <v>&lt;&lt; Quota Eligibility &gt;&gt;</v>
          </cell>
          <cell r="K15">
            <v>0</v>
          </cell>
        </row>
        <row r="16">
          <cell r="A16" t="str">
            <v>Broilers</v>
          </cell>
          <cell r="B16" t="str">
            <v>less than 6.2</v>
          </cell>
          <cell r="E16" t="str">
            <v>Broilers</v>
          </cell>
          <cell r="F16">
            <v>70.25</v>
          </cell>
          <cell r="K16">
            <v>0</v>
          </cell>
        </row>
        <row r="17">
          <cell r="A17" t="str">
            <v>Hens</v>
          </cell>
          <cell r="B17" t="str">
            <v>6.3 kgs to 9.8 kgs</v>
          </cell>
          <cell r="E17" t="str">
            <v>Hens</v>
          </cell>
          <cell r="F17">
            <v>70.25</v>
          </cell>
          <cell r="K17">
            <v>0</v>
          </cell>
        </row>
        <row r="18">
          <cell r="A18" t="str">
            <v>Toms</v>
          </cell>
          <cell r="B18" t="str">
            <v>greater than 9.9 kgs</v>
          </cell>
          <cell r="E18" t="str">
            <v>Toms</v>
          </cell>
          <cell r="F18">
            <v>76.5</v>
          </cell>
          <cell r="K18">
            <v>0</v>
          </cell>
        </row>
        <row r="20">
          <cell r="K20" t="str">
            <v>Tran!D3..G14</v>
          </cell>
        </row>
        <row r="21">
          <cell r="E21" t="str">
            <v>Opt.</v>
          </cell>
          <cell r="F21" t="str">
            <v xml:space="preserve"> Expected</v>
          </cell>
          <cell r="G21" t="str">
            <v xml:space="preserve">   Pess.</v>
          </cell>
          <cell r="K21" t="str">
            <v>Allo!C3..J14</v>
          </cell>
        </row>
        <row r="22">
          <cell r="A22" t="str">
            <v>Poult cost ($'s ea.)</v>
          </cell>
          <cell r="E22">
            <v>1.35</v>
          </cell>
          <cell r="F22">
            <v>1.45</v>
          </cell>
          <cell r="G22">
            <v>1.55</v>
          </cell>
          <cell r="K22">
            <v>0</v>
          </cell>
        </row>
        <row r="23">
          <cell r="A23" t="str">
            <v>Turkey Price ($'s/kg.)</v>
          </cell>
          <cell r="E23">
            <v>1.6</v>
          </cell>
          <cell r="F23">
            <v>1.52</v>
          </cell>
          <cell r="G23">
            <v>1.45</v>
          </cell>
          <cell r="K23">
            <v>0</v>
          </cell>
        </row>
        <row r="24">
          <cell r="A24" t="str">
            <v>Death loss (including # condemned) %</v>
          </cell>
          <cell r="E24">
            <v>4</v>
          </cell>
          <cell r="F24">
            <v>8</v>
          </cell>
          <cell r="G24">
            <v>12</v>
          </cell>
          <cell r="K24">
            <v>0</v>
          </cell>
        </row>
        <row r="25">
          <cell r="A25" t="str">
            <v>Feed conversion rate</v>
          </cell>
          <cell r="E25">
            <v>2</v>
          </cell>
          <cell r="F25">
            <v>2.2999999999999998</v>
          </cell>
          <cell r="G25">
            <v>2.5</v>
          </cell>
          <cell r="K25">
            <v>0</v>
          </cell>
        </row>
        <row r="26">
          <cell r="A26" t="str">
            <v>Purchased feed price ($'s per tonne)</v>
          </cell>
          <cell r="E26">
            <v>280</v>
          </cell>
          <cell r="F26">
            <v>300</v>
          </cell>
          <cell r="G26">
            <v>320</v>
          </cell>
          <cell r="K26">
            <v>0</v>
          </cell>
        </row>
        <row r="27">
          <cell r="A27" t="str">
            <v>Poults</v>
          </cell>
          <cell r="B27" t="str">
            <v>Required</v>
          </cell>
          <cell r="F27">
            <v>0</v>
          </cell>
          <cell r="K27">
            <v>0</v>
          </cell>
        </row>
        <row r="28">
          <cell r="B28" t="str">
            <v>% extra from Hatchery</v>
          </cell>
          <cell r="E28">
            <v>2</v>
          </cell>
          <cell r="F28">
            <v>0</v>
          </cell>
          <cell r="K28">
            <v>0</v>
          </cell>
        </row>
        <row r="29">
          <cell r="B29" t="str">
            <v>Purchased</v>
          </cell>
          <cell r="F29">
            <v>0</v>
          </cell>
        </row>
        <row r="30">
          <cell r="A30" t="str">
            <v>EXPENSES</v>
          </cell>
        </row>
        <row r="31">
          <cell r="A31" t="str">
            <v xml:space="preserve"> Variable Costs:</v>
          </cell>
          <cell r="F31" t="str">
            <v>$/kg</v>
          </cell>
          <cell r="G31" t="str">
            <v xml:space="preserve"> $/Cycle:</v>
          </cell>
          <cell r="H31" t="str">
            <v xml:space="preserve"> $/Year:</v>
          </cell>
        </row>
        <row r="32">
          <cell r="A32" t="str">
            <v xml:space="preserve"> Feed costs:</v>
          </cell>
        </row>
        <row r="33">
          <cell r="A33" t="str">
            <v xml:space="preserve">  Purchased feed</v>
          </cell>
          <cell r="C33">
            <v>0</v>
          </cell>
          <cell r="D33" t="str">
            <v>($'s per tonne)</v>
          </cell>
          <cell r="F33">
            <v>0</v>
          </cell>
          <cell r="G33">
            <v>0</v>
          </cell>
          <cell r="H33">
            <v>0</v>
          </cell>
        </row>
        <row r="34">
          <cell r="A34" t="str">
            <v xml:space="preserve">    kilograms/bird</v>
          </cell>
          <cell r="C34">
            <v>0</v>
          </cell>
          <cell r="D34" t="str">
            <v>(computed)</v>
          </cell>
        </row>
        <row r="35">
          <cell r="A35" t="str">
            <v xml:space="preserve">    tonnes/cycle</v>
          </cell>
          <cell r="C35">
            <v>0</v>
          </cell>
          <cell r="D35" t="str">
            <v>(computed)</v>
          </cell>
        </row>
        <row r="36">
          <cell r="A36" t="str">
            <v xml:space="preserve">    tonnes/year</v>
          </cell>
          <cell r="C36">
            <v>0</v>
          </cell>
          <cell r="D36" t="str">
            <v>(computed)</v>
          </cell>
        </row>
        <row r="37">
          <cell r="A37" t="str">
            <v xml:space="preserve">  Other#1</v>
          </cell>
          <cell r="C37">
            <v>0</v>
          </cell>
          <cell r="D37" t="str">
            <v>(cost per cycle)</v>
          </cell>
          <cell r="F37">
            <v>0</v>
          </cell>
          <cell r="G37">
            <v>0</v>
          </cell>
          <cell r="H37">
            <v>0</v>
          </cell>
        </row>
        <row r="38">
          <cell r="A38" t="str">
            <v xml:space="preserve">  Other#2</v>
          </cell>
          <cell r="C38">
            <v>0</v>
          </cell>
          <cell r="D38" t="str">
            <v>(cost per cycle)</v>
          </cell>
          <cell r="F38">
            <v>0</v>
          </cell>
          <cell r="G38">
            <v>0</v>
          </cell>
          <cell r="H38">
            <v>0</v>
          </cell>
        </row>
        <row r="40">
          <cell r="A40" t="str">
            <v xml:space="preserve">  Homegrown Feed *</v>
          </cell>
        </row>
        <row r="41">
          <cell r="A41" t="str">
            <v xml:space="preserve">    Crop Transfers    (from Transfer Table)</v>
          </cell>
          <cell r="G41">
            <v>0</v>
          </cell>
          <cell r="H41">
            <v>0</v>
          </cell>
          <cell r="I41">
            <v>0</v>
          </cell>
        </row>
        <row r="42">
          <cell r="A42" t="str">
            <v xml:space="preserve">  ------</v>
          </cell>
          <cell r="F42" t="str">
            <v>$/kg</v>
          </cell>
          <cell r="G42" t="str">
            <v xml:space="preserve"> $/Cycle:</v>
          </cell>
          <cell r="H42" t="str">
            <v xml:space="preserve"> $/Year:</v>
          </cell>
        </row>
        <row r="43">
          <cell r="A43" t="str">
            <v xml:space="preserve"> Total Feed Costs</v>
          </cell>
          <cell r="F43">
            <v>0</v>
          </cell>
          <cell r="G43">
            <v>0</v>
          </cell>
          <cell r="H43">
            <v>0</v>
          </cell>
        </row>
        <row r="45">
          <cell r="B45" t="str">
            <v xml:space="preserve">  * (be careful not to include crop costs which</v>
          </cell>
        </row>
        <row r="46">
          <cell r="B46" t="str">
            <v xml:space="preserve">     have already been entered in the transfer table.)</v>
          </cell>
        </row>
        <row r="48">
          <cell r="A48" t="str">
            <v xml:space="preserve"> Expected Yearly Poult Purchases (in dollars)</v>
          </cell>
          <cell r="G48">
            <v>0</v>
          </cell>
          <cell r="H48">
            <v>0</v>
          </cell>
        </row>
        <row r="51">
          <cell r="D51" t="str">
            <v xml:space="preserve"> Unit</v>
          </cell>
          <cell r="E51" t="str">
            <v>Number</v>
          </cell>
          <cell r="F51" t="str">
            <v>$/Unit</v>
          </cell>
          <cell r="G51" t="str">
            <v xml:space="preserve">  $/Cycle:</v>
          </cell>
          <cell r="H51" t="str">
            <v xml:space="preserve">   $/Year</v>
          </cell>
        </row>
        <row r="52">
          <cell r="A52" t="str">
            <v xml:space="preserve"> Hired Labour</v>
          </cell>
          <cell r="D52" t="str">
            <v>hrs</v>
          </cell>
          <cell r="E52">
            <v>0</v>
          </cell>
          <cell r="F52">
            <v>7.75</v>
          </cell>
          <cell r="G52">
            <v>0</v>
          </cell>
          <cell r="H52">
            <v>0</v>
          </cell>
        </row>
        <row r="53">
          <cell r="A53" t="str">
            <v xml:space="preserve"> Catching</v>
          </cell>
          <cell r="D53" t="str">
            <v>kg</v>
          </cell>
          <cell r="E53">
            <v>0</v>
          </cell>
          <cell r="F53">
            <v>9.4000000000000004E-3</v>
          </cell>
          <cell r="G53">
            <v>0</v>
          </cell>
          <cell r="H53">
            <v>0</v>
          </cell>
        </row>
        <row r="54">
          <cell r="A54" t="str">
            <v xml:space="preserve"> Veterinary &amp; Medicine</v>
          </cell>
          <cell r="D54" t="str">
            <v>kg</v>
          </cell>
          <cell r="E54">
            <v>0</v>
          </cell>
          <cell r="F54">
            <v>0.01</v>
          </cell>
          <cell r="G54">
            <v>0</v>
          </cell>
          <cell r="H54">
            <v>0</v>
          </cell>
        </row>
        <row r="55">
          <cell r="A55" t="str">
            <v xml:space="preserve"> Bedding</v>
          </cell>
          <cell r="D55" t="str">
            <v>kg</v>
          </cell>
          <cell r="E55">
            <v>0</v>
          </cell>
          <cell r="F55">
            <v>0.02</v>
          </cell>
          <cell r="G55">
            <v>0</v>
          </cell>
          <cell r="H55">
            <v>0</v>
          </cell>
        </row>
        <row r="56">
          <cell r="A56" t="str">
            <v xml:space="preserve"> Levies - Ontario</v>
          </cell>
          <cell r="D56" t="str">
            <v>kg</v>
          </cell>
          <cell r="E56">
            <v>0</v>
          </cell>
          <cell r="F56">
            <v>1.0999999999999999E-2</v>
          </cell>
          <cell r="G56">
            <v>0</v>
          </cell>
          <cell r="H56">
            <v>0</v>
          </cell>
        </row>
        <row r="57">
          <cell r="A57" t="str">
            <v xml:space="preserve"> Levies - CTMA</v>
          </cell>
          <cell r="D57" t="str">
            <v>kg</v>
          </cell>
          <cell r="E57">
            <v>0</v>
          </cell>
          <cell r="F57">
            <v>1.2999999999999999E-2</v>
          </cell>
          <cell r="G57">
            <v>0</v>
          </cell>
          <cell r="H57">
            <v>0</v>
          </cell>
          <cell r="K57" t="str">
            <v>Wfarm!L4</v>
          </cell>
        </row>
        <row r="58">
          <cell r="A58" t="str">
            <v xml:space="preserve"> Transportation</v>
          </cell>
          <cell r="D58" t="str">
            <v>kg</v>
          </cell>
          <cell r="E58">
            <v>0</v>
          </cell>
          <cell r="F58">
            <v>8.9999999999999993E-3</v>
          </cell>
          <cell r="G58">
            <v>0</v>
          </cell>
          <cell r="H58">
            <v>0</v>
          </cell>
          <cell r="K58" t="str">
            <v>Wfarm!L5</v>
          </cell>
        </row>
        <row r="59">
          <cell r="A59" t="str">
            <v xml:space="preserve"> Heat</v>
          </cell>
          <cell r="D59" t="str">
            <v>kg</v>
          </cell>
          <cell r="E59">
            <v>0</v>
          </cell>
          <cell r="F59">
            <v>0.05</v>
          </cell>
          <cell r="G59">
            <v>0</v>
          </cell>
          <cell r="H59">
            <v>0</v>
          </cell>
          <cell r="K59" t="str">
            <v>Wfarm!L6</v>
          </cell>
        </row>
        <row r="60">
          <cell r="A60" t="str">
            <v xml:space="preserve"> Custom Work</v>
          </cell>
          <cell r="D60" t="str">
            <v>$</v>
          </cell>
          <cell r="E60">
            <v>0</v>
          </cell>
          <cell r="F60">
            <v>0</v>
          </cell>
          <cell r="G60">
            <v>0</v>
          </cell>
          <cell r="H60">
            <v>0</v>
          </cell>
          <cell r="K60" t="str">
            <v>Wfarm!L7</v>
          </cell>
        </row>
        <row r="61">
          <cell r="A61" t="str">
            <v xml:space="preserve"> Insurance</v>
          </cell>
          <cell r="D61" t="str">
            <v>kg</v>
          </cell>
          <cell r="E61">
            <v>0</v>
          </cell>
          <cell r="F61">
            <v>0.01</v>
          </cell>
          <cell r="G61">
            <v>0</v>
          </cell>
          <cell r="H61">
            <v>0</v>
          </cell>
          <cell r="K61" t="str">
            <v>Wfarm!L8</v>
          </cell>
        </row>
        <row r="62">
          <cell r="A62" t="str">
            <v xml:space="preserve"> Miscellaneous </v>
          </cell>
          <cell r="D62" t="str">
            <v>$</v>
          </cell>
          <cell r="E62">
            <v>1</v>
          </cell>
          <cell r="F62">
            <v>0</v>
          </cell>
          <cell r="G62">
            <v>0</v>
          </cell>
          <cell r="H62">
            <v>0</v>
          </cell>
        </row>
        <row r="64">
          <cell r="D64" t="str">
            <v>Typical</v>
          </cell>
          <cell r="E64" t="str">
            <v xml:space="preserve"> Enterprise</v>
          </cell>
          <cell r="J64">
            <v>0</v>
          </cell>
          <cell r="K64" t="str">
            <v>Wfarm!L9</v>
          </cell>
        </row>
        <row r="65">
          <cell r="C65" t="str">
            <v xml:space="preserve">       $/kg</v>
          </cell>
          <cell r="E65" t="str">
            <v xml:space="preserve"> $ Allocated:</v>
          </cell>
          <cell r="G65" t="str">
            <v xml:space="preserve">  $/Cycle:</v>
          </cell>
          <cell r="H65" t="str">
            <v xml:space="preserve">   $/Year</v>
          </cell>
        </row>
        <row r="66">
          <cell r="A66" t="str">
            <v xml:space="preserve"> Fuel</v>
          </cell>
          <cell r="D66">
            <v>8.0000000000000002E-3</v>
          </cell>
          <cell r="E66">
            <v>0</v>
          </cell>
          <cell r="G66">
            <v>0</v>
          </cell>
          <cell r="H66">
            <v>0</v>
          </cell>
        </row>
        <row r="67">
          <cell r="A67" t="str">
            <v xml:space="preserve"> Mach. Repair &amp; Maint.</v>
          </cell>
          <cell r="D67">
            <v>0.03</v>
          </cell>
          <cell r="E67">
            <v>0</v>
          </cell>
          <cell r="G67">
            <v>0</v>
          </cell>
          <cell r="H67">
            <v>0</v>
          </cell>
        </row>
        <row r="68">
          <cell r="A68" t="str">
            <v xml:space="preserve"> Bldg. Repair &amp; Maint.</v>
          </cell>
          <cell r="D68">
            <v>0.02</v>
          </cell>
          <cell r="E68">
            <v>0</v>
          </cell>
          <cell r="G68">
            <v>0</v>
          </cell>
          <cell r="H68">
            <v>0</v>
          </cell>
        </row>
        <row r="69">
          <cell r="A69" t="str">
            <v xml:space="preserve"> Rent and Labour</v>
          </cell>
          <cell r="D69">
            <v>8.0000000000000002E-3</v>
          </cell>
          <cell r="E69">
            <v>0</v>
          </cell>
          <cell r="G69">
            <v>0</v>
          </cell>
          <cell r="H69">
            <v>0</v>
          </cell>
        </row>
        <row r="70">
          <cell r="A70" t="str">
            <v xml:space="preserve"> General Variable Costs</v>
          </cell>
          <cell r="D70">
            <v>8.0000000000000002E-3</v>
          </cell>
          <cell r="E70">
            <v>0</v>
          </cell>
          <cell r="G70">
            <v>0</v>
          </cell>
          <cell r="H70">
            <v>0</v>
          </cell>
        </row>
        <row r="72">
          <cell r="A72" t="str">
            <v>Interest on</v>
          </cell>
          <cell r="C72" t="str">
            <v>% Int.</v>
          </cell>
          <cell r="D72" t="str">
            <v>% Year</v>
          </cell>
          <cell r="K72" t="str">
            <v>Wfarm!K4</v>
          </cell>
        </row>
        <row r="73">
          <cell r="A73" t="str">
            <v>Operating Capital</v>
          </cell>
          <cell r="C73">
            <v>10</v>
          </cell>
          <cell r="D73">
            <v>50</v>
          </cell>
          <cell r="E73">
            <v>0</v>
          </cell>
          <cell r="G73">
            <v>0</v>
          </cell>
          <cell r="H73">
            <v>0</v>
          </cell>
          <cell r="K73" t="str">
            <v>Wfarm!K5</v>
          </cell>
        </row>
        <row r="74">
          <cell r="K74" t="str">
            <v>Wfarm!K6</v>
          </cell>
        </row>
        <row r="75">
          <cell r="A75" t="str">
            <v>Total Variable Costs</v>
          </cell>
          <cell r="D75">
            <v>0</v>
          </cell>
          <cell r="G75">
            <v>0</v>
          </cell>
          <cell r="H75">
            <v>0</v>
          </cell>
          <cell r="K75" t="str">
            <v>Wfarm!K7</v>
          </cell>
        </row>
        <row r="77">
          <cell r="D77" t="str">
            <v>Typical</v>
          </cell>
          <cell r="E77" t="str">
            <v xml:space="preserve"> Enterprise</v>
          </cell>
        </row>
        <row r="78">
          <cell r="A78" t="str">
            <v>Fixed Costs:</v>
          </cell>
          <cell r="D78" t="str">
            <v>$/kg</v>
          </cell>
          <cell r="E78" t="str">
            <v xml:space="preserve"> $ Allocated:</v>
          </cell>
          <cell r="G78" t="str">
            <v xml:space="preserve">  $/Cycle:</v>
          </cell>
          <cell r="H78" t="str">
            <v xml:space="preserve">   $/Year</v>
          </cell>
        </row>
        <row r="79">
          <cell r="A79" t="str">
            <v xml:space="preserve"> Depreciation</v>
          </cell>
          <cell r="D79">
            <v>0.08</v>
          </cell>
          <cell r="E79">
            <v>0</v>
          </cell>
          <cell r="G79">
            <v>0</v>
          </cell>
          <cell r="H79">
            <v>0</v>
          </cell>
        </row>
        <row r="80">
          <cell r="A80" t="str">
            <v xml:space="preserve"> Interest on Term Loans</v>
          </cell>
          <cell r="D80">
            <v>0.04</v>
          </cell>
          <cell r="E80">
            <v>0</v>
          </cell>
          <cell r="G80">
            <v>0</v>
          </cell>
          <cell r="H80">
            <v>0</v>
          </cell>
        </row>
        <row r="81">
          <cell r="A81" t="str">
            <v xml:space="preserve"> Long-term Leases</v>
          </cell>
          <cell r="D81">
            <v>0.01</v>
          </cell>
          <cell r="E81">
            <v>0</v>
          </cell>
          <cell r="G81">
            <v>0</v>
          </cell>
          <cell r="H81">
            <v>0</v>
          </cell>
        </row>
        <row r="82">
          <cell r="A82" t="str">
            <v xml:space="preserve"> General Fixed Costs</v>
          </cell>
          <cell r="D82">
            <v>0.02</v>
          </cell>
          <cell r="E82">
            <v>0</v>
          </cell>
          <cell r="G82">
            <v>0</v>
          </cell>
          <cell r="H82">
            <v>0</v>
          </cell>
        </row>
        <row r="84">
          <cell r="A84" t="str">
            <v>Total Fixed Costs</v>
          </cell>
          <cell r="D84">
            <v>0</v>
          </cell>
          <cell r="G84">
            <v>0</v>
          </cell>
          <cell r="H84">
            <v>0</v>
          </cell>
        </row>
        <row r="87">
          <cell r="A87" t="str">
            <v>Revenues:</v>
          </cell>
          <cell r="E87" t="str">
            <v>$/kg.</v>
          </cell>
          <cell r="F87" t="str">
            <v>$/Cycle</v>
          </cell>
          <cell r="G87" t="str">
            <v>$/Year</v>
          </cell>
        </row>
        <row r="88">
          <cell r="A88" t="str">
            <v>Total Expected Revenues</v>
          </cell>
          <cell r="E88">
            <v>0</v>
          </cell>
          <cell r="F88">
            <v>0</v>
          </cell>
          <cell r="G88">
            <v>0</v>
          </cell>
        </row>
        <row r="89">
          <cell r="A89" t="str">
            <v xml:space="preserve">    less: Feed and Chick Costs</v>
          </cell>
          <cell r="E89">
            <v>0</v>
          </cell>
          <cell r="F89">
            <v>0</v>
          </cell>
          <cell r="G89">
            <v>0</v>
          </cell>
        </row>
        <row r="91">
          <cell r="A91" t="str">
            <v>NET of FEED &amp; CHICK Costs:</v>
          </cell>
          <cell r="E91">
            <v>0</v>
          </cell>
          <cell r="F91">
            <v>0</v>
          </cell>
          <cell r="G91">
            <v>0</v>
          </cell>
        </row>
        <row r="92">
          <cell r="A92" t="str">
            <v xml:space="preserve">    less: Remaining Variable Costs</v>
          </cell>
          <cell r="E92">
            <v>0</v>
          </cell>
          <cell r="F92">
            <v>0</v>
          </cell>
          <cell r="G92">
            <v>0</v>
          </cell>
        </row>
        <row r="94">
          <cell r="A94" t="str">
            <v>Expected Operating Margin</v>
          </cell>
          <cell r="E94">
            <v>0</v>
          </cell>
          <cell r="F94">
            <v>0</v>
          </cell>
          <cell r="G94">
            <v>0</v>
          </cell>
        </row>
        <row r="95">
          <cell r="A95" t="str">
            <v xml:space="preserve">    less: Fixed Costs</v>
          </cell>
          <cell r="E95">
            <v>0</v>
          </cell>
          <cell r="F95">
            <v>0</v>
          </cell>
          <cell r="G95">
            <v>0</v>
          </cell>
        </row>
        <row r="97">
          <cell r="A97" t="str">
            <v>Expected Net Revenue</v>
          </cell>
          <cell r="E97">
            <v>0</v>
          </cell>
          <cell r="F97">
            <v>0</v>
          </cell>
          <cell r="G97">
            <v>0</v>
          </cell>
        </row>
        <row r="101">
          <cell r="A101" t="str">
            <v>Expected break-even dollars per kilogram</v>
          </cell>
        </row>
        <row r="102">
          <cell r="A102" t="str">
            <v>for birds sold; needed to cover:</v>
          </cell>
          <cell r="E102" t="str">
            <v>Variable Costs</v>
          </cell>
          <cell r="G102">
            <v>0</v>
          </cell>
        </row>
        <row r="103">
          <cell r="E103" t="str">
            <v>Fixed Costs</v>
          </cell>
          <cell r="G103">
            <v>0</v>
          </cell>
        </row>
        <row r="105">
          <cell r="E105" t="str">
            <v>Total Costs</v>
          </cell>
          <cell r="G105">
            <v>0</v>
          </cell>
        </row>
        <row r="106">
          <cell r="A106" t="str">
            <v>=</v>
          </cell>
          <cell r="B106" t="str">
            <v>=</v>
          </cell>
          <cell r="C106" t="str">
            <v>=</v>
          </cell>
          <cell r="D106" t="str">
            <v>=</v>
          </cell>
          <cell r="E106" t="str">
            <v>=</v>
          </cell>
          <cell r="F106" t="str">
            <v>=</v>
          </cell>
          <cell r="G106" t="str">
            <v>=</v>
          </cell>
          <cell r="H106" t="str">
            <v>=</v>
          </cell>
        </row>
        <row r="107">
          <cell r="H107" t="str">
            <v>StdPf</v>
          </cell>
          <cell r="I107">
            <v>0</v>
          </cell>
          <cell r="J107" t="str">
            <v xml:space="preserve"> +profit</v>
          </cell>
        </row>
        <row r="108">
          <cell r="B108" t="str">
            <v>Chance of at least breaking even       ==&gt;</v>
          </cell>
          <cell r="G108">
            <v>0</v>
          </cell>
          <cell r="H108" t="str">
            <v>StdQf</v>
          </cell>
          <cell r="I108">
            <v>0</v>
          </cell>
          <cell r="J108">
            <v>0</v>
          </cell>
        </row>
        <row r="109">
          <cell r="B109" t="str">
            <v>Chance of at least</v>
          </cell>
          <cell r="D109">
            <v>0</v>
          </cell>
          <cell r="E109" t="str">
            <v>$/cycle retn==&gt;</v>
          </cell>
          <cell r="G109">
            <v>0</v>
          </cell>
          <cell r="H109" t="str">
            <v>StdPe</v>
          </cell>
          <cell r="I109">
            <v>0</v>
          </cell>
          <cell r="J109">
            <v>0</v>
          </cell>
        </row>
        <row r="110">
          <cell r="B110" t="str">
            <v>Coefficient of variation               ==&gt;</v>
          </cell>
          <cell r="G110">
            <v>0</v>
          </cell>
          <cell r="H110" t="str">
            <v>StdQe</v>
          </cell>
          <cell r="I110">
            <v>0</v>
          </cell>
          <cell r="J110">
            <v>0</v>
          </cell>
        </row>
        <row r="111">
          <cell r="H111" t="str">
            <v>Var(PeQe)</v>
          </cell>
          <cell r="I111">
            <v>0</v>
          </cell>
          <cell r="J111">
            <v>0</v>
          </cell>
        </row>
        <row r="112">
          <cell r="C112" t="str">
            <v xml:space="preserve">      Returns</v>
          </cell>
          <cell r="E112" t="str">
            <v xml:space="preserve">        Chances of at least</v>
          </cell>
          <cell r="H112" t="str">
            <v>Var(PbQb)</v>
          </cell>
          <cell r="I112">
            <v>0</v>
          </cell>
        </row>
        <row r="113">
          <cell r="C113" t="str">
            <v>$/kg</v>
          </cell>
          <cell r="D113" t="str">
            <v>$/cycle</v>
          </cell>
          <cell r="F113" t="str">
            <v>this return per kg</v>
          </cell>
          <cell r="H113" t="str">
            <v>Var(PfQf)</v>
          </cell>
          <cell r="I113">
            <v>0</v>
          </cell>
        </row>
        <row r="114">
          <cell r="H114" t="str">
            <v>SumStd</v>
          </cell>
          <cell r="I114">
            <v>0</v>
          </cell>
        </row>
        <row r="115">
          <cell r="C115">
            <v>0</v>
          </cell>
          <cell r="D115">
            <v>0</v>
          </cell>
          <cell r="F115" t="str">
            <v xml:space="preserve">       17 %</v>
          </cell>
          <cell r="H115" t="str">
            <v>KgStd</v>
          </cell>
          <cell r="I115">
            <v>0</v>
          </cell>
        </row>
        <row r="116">
          <cell r="C116">
            <v>0</v>
          </cell>
          <cell r="D116">
            <v>0</v>
          </cell>
          <cell r="F116" t="str">
            <v xml:space="preserve">       33 %</v>
          </cell>
          <cell r="H116" t="str">
            <v>CycleStd</v>
          </cell>
          <cell r="I116">
            <v>0</v>
          </cell>
        </row>
        <row r="117">
          <cell r="C117">
            <v>0</v>
          </cell>
          <cell r="D117">
            <v>0</v>
          </cell>
          <cell r="F117" t="str">
            <v xml:space="preserve">       50 %</v>
          </cell>
          <cell r="I117" t="str">
            <v xml:space="preserve"> +b.e.</v>
          </cell>
        </row>
        <row r="118">
          <cell r="C118">
            <v>0</v>
          </cell>
          <cell r="D118">
            <v>0</v>
          </cell>
          <cell r="F118" t="str">
            <v xml:space="preserve">       67 %</v>
          </cell>
          <cell r="H118" t="str">
            <v>z</v>
          </cell>
          <cell r="I118">
            <v>0</v>
          </cell>
        </row>
        <row r="119">
          <cell r="C119">
            <v>0</v>
          </cell>
          <cell r="D119">
            <v>0</v>
          </cell>
          <cell r="F119" t="str">
            <v xml:space="preserve">       83 %</v>
          </cell>
          <cell r="H119" t="str">
            <v>v1</v>
          </cell>
          <cell r="I119">
            <v>0</v>
          </cell>
        </row>
        <row r="120">
          <cell r="H120" t="str">
            <v>v2</v>
          </cell>
          <cell r="I120">
            <v>0</v>
          </cell>
        </row>
        <row r="121">
          <cell r="D121" t="str">
            <v xml:space="preserve"> - End of Budget -</v>
          </cell>
          <cell r="H121" t="str">
            <v>p(vx)</v>
          </cell>
          <cell r="I121">
            <v>0</v>
          </cell>
        </row>
        <row r="122">
          <cell r="A122" t="str">
            <v>=</v>
          </cell>
          <cell r="B122" t="str">
            <v>=</v>
          </cell>
          <cell r="C122" t="str">
            <v>=</v>
          </cell>
          <cell r="D122" t="str">
            <v>=</v>
          </cell>
          <cell r="E122" t="str">
            <v>=</v>
          </cell>
          <cell r="F122" t="str">
            <v>=</v>
          </cell>
          <cell r="G122" t="str">
            <v>=</v>
          </cell>
          <cell r="H122"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YER"/>
    </sheetNames>
    <sheetDataSet>
      <sheetData sheetId="0">
        <row r="1">
          <cell r="A1" t="str">
            <v>Layer 1</v>
          </cell>
          <cell r="C1" t="str">
            <v>LAYER ENTERPRISE BUDGET</v>
          </cell>
          <cell r="F1" t="str">
            <v>Revised: May '98</v>
          </cell>
        </row>
        <row r="2">
          <cell r="A2">
            <v>352</v>
          </cell>
          <cell r="E2" t="str">
            <v xml:space="preserve"> Profit per Dozen: </v>
          </cell>
          <cell r="G2" t="e">
            <v>#REF!</v>
          </cell>
        </row>
        <row r="3">
          <cell r="A3" t="str">
            <v>Bird Quota</v>
          </cell>
          <cell r="E3">
            <v>15000</v>
          </cell>
          <cell r="F3" t="str">
            <v>Units</v>
          </cell>
        </row>
        <row r="4">
          <cell r="A4" t="str">
            <v>Additional quota units per cycle</v>
          </cell>
          <cell r="E4">
            <v>0</v>
          </cell>
          <cell r="F4" t="str">
            <v>Units</v>
          </cell>
          <cell r="K4">
            <v>4.3679999999999997E-2</v>
          </cell>
        </row>
        <row r="5">
          <cell r="A5" t="str">
            <v>Death loss (laying flock) %</v>
          </cell>
          <cell r="E5">
            <v>6</v>
          </cell>
        </row>
        <row r="6">
          <cell r="A6" t="str">
            <v>Number of Flocks</v>
          </cell>
          <cell r="E6">
            <v>2</v>
          </cell>
        </row>
        <row r="7">
          <cell r="A7" t="str">
            <v>Number of weeks per cycle</v>
          </cell>
          <cell r="E7">
            <v>52</v>
          </cell>
          <cell r="F7" t="str">
            <v>weeks</v>
          </cell>
        </row>
        <row r="8">
          <cell r="A8" t="str">
            <v>Average Number of Laying Hens</v>
          </cell>
          <cell r="E8">
            <v>14775</v>
          </cell>
        </row>
        <row r="10">
          <cell r="E10" t="str">
            <v xml:space="preserve">     Opt.</v>
          </cell>
          <cell r="F10" t="str">
            <v xml:space="preserve">  Expected   Pess.</v>
          </cell>
        </row>
        <row r="11">
          <cell r="A11" t="str">
            <v>Pullet cost ($/pullet)</v>
          </cell>
          <cell r="E11">
            <v>3.75</v>
          </cell>
          <cell r="F11">
            <v>4</v>
          </cell>
          <cell r="G11">
            <v>4.25</v>
          </cell>
        </row>
        <row r="12">
          <cell r="A12" t="str">
            <v>Bird Productivity (total eggs/hen)</v>
          </cell>
          <cell r="E12">
            <v>300</v>
          </cell>
          <cell r="F12">
            <v>288</v>
          </cell>
          <cell r="G12">
            <v>276</v>
          </cell>
        </row>
        <row r="13">
          <cell r="A13" t="str">
            <v>Average Price per Dozen Eggs</v>
          </cell>
          <cell r="E13">
            <v>1.31</v>
          </cell>
          <cell r="F13">
            <v>1.26</v>
          </cell>
          <cell r="G13">
            <v>1.21</v>
          </cell>
        </row>
        <row r="14">
          <cell r="A14" t="str">
            <v>Feed Conversion (Kg per Dozen)</v>
          </cell>
          <cell r="E14">
            <v>1.54</v>
          </cell>
          <cell r="F14">
            <v>1.57</v>
          </cell>
          <cell r="G14">
            <v>1.6</v>
          </cell>
          <cell r="K14">
            <v>0</v>
          </cell>
        </row>
        <row r="15">
          <cell r="A15" t="str">
            <v>Purchased feed price ($'s per tonne)</v>
          </cell>
          <cell r="E15">
            <v>200</v>
          </cell>
          <cell r="F15">
            <v>222</v>
          </cell>
          <cell r="G15">
            <v>240</v>
          </cell>
          <cell r="K15" t="e">
            <v>#REF!</v>
          </cell>
        </row>
        <row r="16">
          <cell r="A16" t="str">
            <v>Salvage Value of Spent Hen ($/Hen)</v>
          </cell>
          <cell r="E16">
            <v>0.17</v>
          </cell>
          <cell r="F16">
            <v>0.15</v>
          </cell>
          <cell r="G16">
            <v>0.12</v>
          </cell>
          <cell r="K16" t="e">
            <v>#REF!</v>
          </cell>
        </row>
        <row r="17">
          <cell r="K17">
            <v>449012.25</v>
          </cell>
        </row>
        <row r="18">
          <cell r="A18" t="str">
            <v>Egg Production per bird (dozen)</v>
          </cell>
          <cell r="E18">
            <v>25</v>
          </cell>
          <cell r="F18">
            <v>24</v>
          </cell>
          <cell r="G18">
            <v>23</v>
          </cell>
          <cell r="K18">
            <v>26593.828301461213</v>
          </cell>
        </row>
        <row r="19">
          <cell r="A19" t="str">
            <v>Total Flock Production (dozen)</v>
          </cell>
          <cell r="E19">
            <v>369375</v>
          </cell>
          <cell r="F19">
            <v>354600</v>
          </cell>
          <cell r="G19">
            <v>339825</v>
          </cell>
        </row>
        <row r="20">
          <cell r="A20" t="str">
            <v>Gross Revenue From Egg Sales</v>
          </cell>
          <cell r="E20">
            <v>483881.25</v>
          </cell>
          <cell r="F20">
            <v>446796</v>
          </cell>
          <cell r="G20">
            <v>411188.25</v>
          </cell>
          <cell r="K20" t="str">
            <v>Tran!D3..G14</v>
          </cell>
        </row>
        <row r="21">
          <cell r="A21" t="str">
            <v>Gross Revenue From Spent Hens</v>
          </cell>
          <cell r="E21">
            <v>2511.75</v>
          </cell>
          <cell r="F21">
            <v>2216.25</v>
          </cell>
          <cell r="G21">
            <v>1773</v>
          </cell>
          <cell r="K21" t="str">
            <v>Allo!C3..J14</v>
          </cell>
        </row>
        <row r="22">
          <cell r="K22">
            <v>14775</v>
          </cell>
        </row>
        <row r="23">
          <cell r="A23" t="str">
            <v>=</v>
          </cell>
          <cell r="B23" t="str">
            <v>=</v>
          </cell>
          <cell r="C23" t="str">
            <v>=</v>
          </cell>
          <cell r="D23" t="str">
            <v>=</v>
          </cell>
          <cell r="E23" t="str">
            <v>=</v>
          </cell>
          <cell r="F23" t="str">
            <v>=</v>
          </cell>
          <cell r="G23" t="str">
            <v>=</v>
          </cell>
          <cell r="H23" t="str">
            <v>=</v>
          </cell>
          <cell r="I23" t="str">
            <v>=</v>
          </cell>
          <cell r="K23">
            <v>60900</v>
          </cell>
        </row>
        <row r="24">
          <cell r="A24" t="str">
            <v>Variable Costs:</v>
          </cell>
          <cell r="F24" t="str">
            <v>$ per</v>
          </cell>
          <cell r="G24" t="str">
            <v>$ per</v>
          </cell>
          <cell r="H24" t="str">
            <v>$ per</v>
          </cell>
          <cell r="K24">
            <v>123592.284</v>
          </cell>
        </row>
        <row r="25">
          <cell r="F25" t="str">
            <v>Dozen:</v>
          </cell>
          <cell r="G25" t="str">
            <v>Cycle:</v>
          </cell>
          <cell r="H25" t="str">
            <v>Year</v>
          </cell>
          <cell r="K25">
            <v>1000</v>
          </cell>
        </row>
        <row r="26">
          <cell r="A26" t="str">
            <v xml:space="preserve"> Feed costs:</v>
          </cell>
          <cell r="K26">
            <v>12750</v>
          </cell>
        </row>
        <row r="27">
          <cell r="A27" t="str">
            <v>Purchased feed</v>
          </cell>
          <cell r="C27">
            <v>222</v>
          </cell>
          <cell r="D27" t="str">
            <v>($'s per tonne)</v>
          </cell>
          <cell r="F27">
            <v>0.34854000000000002</v>
          </cell>
          <cell r="G27">
            <v>123592.284</v>
          </cell>
          <cell r="H27">
            <v>123592.284</v>
          </cell>
          <cell r="K27">
            <v>76756.800000000003</v>
          </cell>
        </row>
        <row r="28">
          <cell r="A28" t="str">
            <v xml:space="preserve">  kilograms/bird</v>
          </cell>
          <cell r="C28">
            <v>37.68</v>
          </cell>
          <cell r="D28" t="str">
            <v>(computed)</v>
          </cell>
          <cell r="K28">
            <v>0</v>
          </cell>
        </row>
        <row r="29">
          <cell r="A29" t="str">
            <v xml:space="preserve">  tonnes/cycle</v>
          </cell>
          <cell r="C29">
            <v>556.72199999999998</v>
          </cell>
          <cell r="D29" t="str">
            <v>(computed)</v>
          </cell>
        </row>
        <row r="30">
          <cell r="A30" t="str">
            <v xml:space="preserve">  tonnes/year</v>
          </cell>
          <cell r="C30">
            <v>556.72199999999998</v>
          </cell>
          <cell r="D30" t="str">
            <v>(computed)</v>
          </cell>
        </row>
        <row r="31">
          <cell r="A31" t="str">
            <v xml:space="preserve"> Other1</v>
          </cell>
          <cell r="C31">
            <v>0</v>
          </cell>
          <cell r="D31" t="str">
            <v>(cost per cycle)</v>
          </cell>
          <cell r="F31">
            <v>0</v>
          </cell>
          <cell r="G31">
            <v>0</v>
          </cell>
          <cell r="H31">
            <v>0</v>
          </cell>
        </row>
        <row r="32">
          <cell r="A32" t="str">
            <v xml:space="preserve"> Other2</v>
          </cell>
          <cell r="C32">
            <v>0</v>
          </cell>
          <cell r="D32" t="str">
            <v>(cost per cycle)</v>
          </cell>
          <cell r="F32">
            <v>0</v>
          </cell>
          <cell r="G32">
            <v>0</v>
          </cell>
          <cell r="H32">
            <v>0</v>
          </cell>
        </row>
        <row r="33">
          <cell r="A33" t="str">
            <v xml:space="preserve">  Crop Transfers *</v>
          </cell>
          <cell r="F33" t="e">
            <v>#REF!</v>
          </cell>
          <cell r="G33" t="e">
            <v>#REF!</v>
          </cell>
          <cell r="H33" t="e">
            <v>#REF!</v>
          </cell>
        </row>
        <row r="34">
          <cell r="A34" t="str">
            <v xml:space="preserve">  -------</v>
          </cell>
          <cell r="F34" t="str">
            <v>-------</v>
          </cell>
          <cell r="G34" t="str">
            <v>-------</v>
          </cell>
          <cell r="H34" t="str">
            <v>-------</v>
          </cell>
        </row>
        <row r="35">
          <cell r="A35" t="str">
            <v xml:space="preserve">  Total Feed Costs</v>
          </cell>
          <cell r="F35" t="e">
            <v>#REF!</v>
          </cell>
          <cell r="G35" t="e">
            <v>#REF!</v>
          </cell>
          <cell r="H35" t="e">
            <v>#REF!</v>
          </cell>
        </row>
        <row r="36">
          <cell r="A36" t="str">
            <v xml:space="preserve">   * be careful not to double count crop </v>
          </cell>
        </row>
        <row r="37">
          <cell r="A37" t="str">
            <v xml:space="preserve">     transfers</v>
          </cell>
        </row>
        <row r="38">
          <cell r="A38" t="str">
            <v xml:space="preserve"> Number of Pullets Purchased</v>
          </cell>
          <cell r="E38">
            <v>15225</v>
          </cell>
        </row>
        <row r="39">
          <cell r="A39" t="str">
            <v xml:space="preserve"> Expected Pullet Purchases at:</v>
          </cell>
          <cell r="E39">
            <v>4</v>
          </cell>
          <cell r="F39">
            <v>0.17174280879864637</v>
          </cell>
          <cell r="G39">
            <v>60900</v>
          </cell>
          <cell r="H39">
            <v>60900</v>
          </cell>
        </row>
        <row r="42">
          <cell r="C42" t="str">
            <v xml:space="preserve">          Comparison</v>
          </cell>
          <cell r="F42" t="str">
            <v xml:space="preserve">  Actual</v>
          </cell>
        </row>
        <row r="43">
          <cell r="D43" t="str">
            <v xml:space="preserve"> $/Dozen</v>
          </cell>
          <cell r="F43" t="str">
            <v>$/Dozen:</v>
          </cell>
          <cell r="G43" t="str">
            <v>$/Cycle:</v>
          </cell>
          <cell r="H43" t="str">
            <v>$/Year:</v>
          </cell>
        </row>
        <row r="44">
          <cell r="A44" t="str">
            <v xml:space="preserve"> Veterinary &amp; Medicine</v>
          </cell>
          <cell r="D44">
            <v>2E-3</v>
          </cell>
          <cell r="F44">
            <v>2.8200789622109417E-3</v>
          </cell>
          <cell r="G44">
            <v>1000</v>
          </cell>
          <cell r="H44">
            <v>1000</v>
          </cell>
        </row>
        <row r="45">
          <cell r="A45" t="str">
            <v xml:space="preserve"> Heat and Hydro</v>
          </cell>
          <cell r="D45">
            <v>0.03</v>
          </cell>
          <cell r="F45">
            <v>2.7495769881556685E-2</v>
          </cell>
          <cell r="G45">
            <v>9750</v>
          </cell>
          <cell r="H45">
            <v>9750</v>
          </cell>
        </row>
        <row r="46">
          <cell r="A46" t="str">
            <v xml:space="preserve"> Insurance </v>
          </cell>
          <cell r="D46">
            <v>5.0000000000000001E-3</v>
          </cell>
          <cell r="F46">
            <v>4.2301184433164128E-3</v>
          </cell>
          <cell r="G46">
            <v>1500</v>
          </cell>
          <cell r="H46">
            <v>1500</v>
          </cell>
        </row>
        <row r="47">
          <cell r="A47" t="str">
            <v xml:space="preserve"> Trucking</v>
          </cell>
          <cell r="D47">
            <v>0.01</v>
          </cell>
          <cell r="F47">
            <v>8.4602368866328256E-3</v>
          </cell>
          <cell r="G47">
            <v>3000</v>
          </cell>
          <cell r="H47">
            <v>3000</v>
          </cell>
        </row>
        <row r="48">
          <cell r="A48" t="str">
            <v xml:space="preserve"> Bedding:units/day</v>
          </cell>
          <cell r="C48">
            <v>0</v>
          </cell>
        </row>
        <row r="49">
          <cell r="B49" t="str">
            <v>$'s/unit</v>
          </cell>
          <cell r="C49">
            <v>10</v>
          </cell>
          <cell r="D49">
            <v>0</v>
          </cell>
          <cell r="F49">
            <v>0</v>
          </cell>
          <cell r="G49">
            <v>0</v>
          </cell>
          <cell r="H49">
            <v>0</v>
          </cell>
        </row>
        <row r="51">
          <cell r="A51" t="str">
            <v xml:space="preserve"> Other (Miscellaneous)</v>
          </cell>
          <cell r="D51">
            <v>0.1</v>
          </cell>
          <cell r="F51">
            <v>4.2301184433164128E-3</v>
          </cell>
          <cell r="G51">
            <v>1500</v>
          </cell>
          <cell r="H51">
            <v>1500</v>
          </cell>
        </row>
        <row r="52">
          <cell r="A52" t="str">
            <v xml:space="preserve"> Marketing Board Fees</v>
          </cell>
          <cell r="F52">
            <v>0.20799999999999999</v>
          </cell>
          <cell r="G52">
            <v>73756.800000000003</v>
          </cell>
          <cell r="H52">
            <v>73756.800000000003</v>
          </cell>
        </row>
        <row r="53">
          <cell r="A53" t="str">
            <v xml:space="preserve"> Custom Work</v>
          </cell>
          <cell r="D53">
            <v>0</v>
          </cell>
          <cell r="F53">
            <v>0</v>
          </cell>
          <cell r="G53">
            <v>0</v>
          </cell>
          <cell r="H53">
            <v>0</v>
          </cell>
        </row>
        <row r="55">
          <cell r="C55" t="str">
            <v xml:space="preserve">     Comparison  Enterprise</v>
          </cell>
        </row>
        <row r="56">
          <cell r="C56" t="str">
            <v xml:space="preserve">     $/Dozen:  $ Allocated:</v>
          </cell>
          <cell r="F56" t="str">
            <v>$/Dozen:</v>
          </cell>
          <cell r="G56" t="str">
            <v>$/Cycle:</v>
          </cell>
          <cell r="H56" t="str">
            <v>$/Year:</v>
          </cell>
        </row>
        <row r="57">
          <cell r="A57" t="str">
            <v xml:space="preserve"> Fuel</v>
          </cell>
          <cell r="D57">
            <v>0.01</v>
          </cell>
          <cell r="E57" t="e">
            <v>#REF!</v>
          </cell>
          <cell r="F57" t="e">
            <v>#REF!</v>
          </cell>
          <cell r="G57" t="e">
            <v>#REF!</v>
          </cell>
          <cell r="H57" t="e">
            <v>#REF!</v>
          </cell>
          <cell r="K57" t="str">
            <v>Wfarm!L4</v>
          </cell>
        </row>
        <row r="58">
          <cell r="A58" t="str">
            <v xml:space="preserve"> Mach. Repair &amp; Maint.</v>
          </cell>
          <cell r="D58">
            <v>0.01</v>
          </cell>
          <cell r="E58" t="e">
            <v>#REF!</v>
          </cell>
          <cell r="F58" t="e">
            <v>#REF!</v>
          </cell>
          <cell r="G58" t="e">
            <v>#REF!</v>
          </cell>
          <cell r="H58" t="e">
            <v>#REF!</v>
          </cell>
          <cell r="K58" t="str">
            <v>Wfarm!L5</v>
          </cell>
        </row>
        <row r="59">
          <cell r="A59" t="str">
            <v xml:space="preserve"> Bldg. Repair &amp; Maint.</v>
          </cell>
          <cell r="D59">
            <v>0.02</v>
          </cell>
          <cell r="E59" t="e">
            <v>#REF!</v>
          </cell>
          <cell r="F59" t="e">
            <v>#REF!</v>
          </cell>
          <cell r="G59" t="e">
            <v>#REF!</v>
          </cell>
          <cell r="H59" t="e">
            <v>#REF!</v>
          </cell>
          <cell r="K59" t="str">
            <v>Wfarm!L6</v>
          </cell>
        </row>
        <row r="60">
          <cell r="A60" t="str">
            <v xml:space="preserve"> Rent and Labour</v>
          </cell>
          <cell r="D60">
            <v>0.02</v>
          </cell>
          <cell r="E60" t="e">
            <v>#REF!</v>
          </cell>
          <cell r="F60" t="e">
            <v>#REF!</v>
          </cell>
          <cell r="G60" t="e">
            <v>#REF!</v>
          </cell>
          <cell r="H60" t="e">
            <v>#REF!</v>
          </cell>
          <cell r="K60" t="str">
            <v>Wfarm!L7</v>
          </cell>
        </row>
        <row r="61">
          <cell r="A61" t="str">
            <v xml:space="preserve"> General Variable Costs</v>
          </cell>
          <cell r="D61">
            <v>0.01</v>
          </cell>
          <cell r="E61" t="e">
            <v>#REF!</v>
          </cell>
          <cell r="F61" t="e">
            <v>#REF!</v>
          </cell>
          <cell r="G61" t="e">
            <v>#REF!</v>
          </cell>
          <cell r="H61" t="e">
            <v>#REF!</v>
          </cell>
          <cell r="K61" t="str">
            <v>Wfarm!L8</v>
          </cell>
        </row>
        <row r="63">
          <cell r="A63" t="str">
            <v>Interest on</v>
          </cell>
          <cell r="D63" t="str">
            <v>(% Interest)</v>
          </cell>
        </row>
        <row r="64">
          <cell r="A64" t="str">
            <v xml:space="preserve">       Operating Capital</v>
          </cell>
          <cell r="D64">
            <v>8</v>
          </cell>
          <cell r="E64" t="e">
            <v>#REF!</v>
          </cell>
          <cell r="F64" t="e">
            <v>#REF!</v>
          </cell>
          <cell r="G64" t="e">
            <v>#REF!</v>
          </cell>
          <cell r="H64" t="e">
            <v>#REF!</v>
          </cell>
          <cell r="J64">
            <v>4000</v>
          </cell>
          <cell r="K64" t="str">
            <v>Wfarm!L9</v>
          </cell>
        </row>
        <row r="65">
          <cell r="A65" t="str">
            <v>Operating Capital Required</v>
          </cell>
          <cell r="D65">
            <v>50000</v>
          </cell>
          <cell r="F65" t="str">
            <v>-------</v>
          </cell>
          <cell r="G65" t="str">
            <v>-------</v>
          </cell>
          <cell r="H65" t="str">
            <v>-------</v>
          </cell>
        </row>
        <row r="66">
          <cell r="A66" t="str">
            <v>Total Variable Costs</v>
          </cell>
          <cell r="F66" t="e">
            <v>#REF!</v>
          </cell>
          <cell r="G66" t="e">
            <v>#REF!</v>
          </cell>
          <cell r="H66" t="e">
            <v>#REF!</v>
          </cell>
        </row>
        <row r="67">
          <cell r="F67" t="str">
            <v>-------</v>
          </cell>
          <cell r="G67" t="str">
            <v>-------</v>
          </cell>
          <cell r="H67" t="str">
            <v>-------</v>
          </cell>
        </row>
        <row r="70">
          <cell r="C70" t="str">
            <v xml:space="preserve">     Comparison  Enterprise</v>
          </cell>
        </row>
        <row r="71">
          <cell r="A71" t="str">
            <v>Fixed Costs:</v>
          </cell>
          <cell r="C71" t="str">
            <v xml:space="preserve">       $/Dozen: $ Allocated:</v>
          </cell>
          <cell r="F71" t="str">
            <v>$/Dozen:</v>
          </cell>
          <cell r="G71" t="str">
            <v>$/Cycle:</v>
          </cell>
          <cell r="H71" t="str">
            <v>$/Year:</v>
          </cell>
        </row>
        <row r="72">
          <cell r="A72" t="str">
            <v xml:space="preserve"> Depreciation</v>
          </cell>
          <cell r="D72">
            <v>3.1E-2</v>
          </cell>
          <cell r="E72" t="e">
            <v>#REF!</v>
          </cell>
          <cell r="F72" t="e">
            <v>#REF!</v>
          </cell>
          <cell r="G72" t="e">
            <v>#REF!</v>
          </cell>
          <cell r="H72" t="e">
            <v>#REF!</v>
          </cell>
          <cell r="K72" t="str">
            <v>Wfarm!K4</v>
          </cell>
        </row>
        <row r="73">
          <cell r="A73" t="str">
            <v xml:space="preserve"> Interest on Term Loans</v>
          </cell>
          <cell r="D73">
            <v>7.6999999999999999E-2</v>
          </cell>
          <cell r="E73" t="e">
            <v>#REF!</v>
          </cell>
          <cell r="F73" t="e">
            <v>#REF!</v>
          </cell>
          <cell r="G73" t="e">
            <v>#REF!</v>
          </cell>
          <cell r="H73" t="e">
            <v>#REF!</v>
          </cell>
          <cell r="K73" t="str">
            <v>Wfarm!K5</v>
          </cell>
        </row>
        <row r="74">
          <cell r="A74" t="str">
            <v xml:space="preserve"> Long-term Leases</v>
          </cell>
          <cell r="D74">
            <v>6.0000000000000001E-3</v>
          </cell>
          <cell r="E74" t="e">
            <v>#REF!</v>
          </cell>
          <cell r="F74" t="e">
            <v>#REF!</v>
          </cell>
          <cell r="G74" t="e">
            <v>#REF!</v>
          </cell>
          <cell r="H74" t="e">
            <v>#REF!</v>
          </cell>
          <cell r="K74" t="str">
            <v>Wfarm!K6</v>
          </cell>
        </row>
        <row r="75">
          <cell r="A75" t="str">
            <v xml:space="preserve"> General Fixed Costs</v>
          </cell>
          <cell r="D75">
            <v>6.0000000000000001E-3</v>
          </cell>
          <cell r="E75" t="e">
            <v>#REF!</v>
          </cell>
          <cell r="F75" t="e">
            <v>#REF!</v>
          </cell>
          <cell r="G75" t="e">
            <v>#REF!</v>
          </cell>
          <cell r="H75" t="e">
            <v>#REF!</v>
          </cell>
          <cell r="K75" t="str">
            <v>Wfarm!K7</v>
          </cell>
        </row>
        <row r="76">
          <cell r="F76" t="str">
            <v>-------</v>
          </cell>
          <cell r="G76" t="str">
            <v>-------</v>
          </cell>
          <cell r="H76" t="str">
            <v>-------</v>
          </cell>
        </row>
        <row r="77">
          <cell r="A77" t="str">
            <v>Total Fixed Costs</v>
          </cell>
          <cell r="F77" t="e">
            <v>#REF!</v>
          </cell>
          <cell r="G77" t="e">
            <v>#REF!</v>
          </cell>
          <cell r="H77" t="e">
            <v>#REF!</v>
          </cell>
        </row>
        <row r="80">
          <cell r="A80" t="str">
            <v>=</v>
          </cell>
          <cell r="B80" t="str">
            <v>=</v>
          </cell>
          <cell r="C80" t="str">
            <v>=</v>
          </cell>
          <cell r="D80" t="str">
            <v>=</v>
          </cell>
          <cell r="E80" t="str">
            <v>=</v>
          </cell>
          <cell r="F80" t="str">
            <v>=</v>
          </cell>
          <cell r="G80" t="str">
            <v>=</v>
          </cell>
          <cell r="H80" t="str">
            <v>=</v>
          </cell>
        </row>
        <row r="81">
          <cell r="F81" t="str">
            <v xml:space="preserve"> $/Dozen:</v>
          </cell>
          <cell r="G81" t="str">
            <v>$/Cycle:</v>
          </cell>
          <cell r="H81" t="str">
            <v>$/Year:</v>
          </cell>
        </row>
        <row r="82">
          <cell r="A82" t="str">
            <v>Total Expected Revenues</v>
          </cell>
          <cell r="F82">
            <v>1.2662500000000001</v>
          </cell>
          <cell r="G82">
            <v>449012.25</v>
          </cell>
          <cell r="H82">
            <v>449012.25</v>
          </cell>
        </row>
        <row r="83">
          <cell r="A83" t="str">
            <v xml:space="preserve">    less Feed &amp; Pullet Costs</v>
          </cell>
          <cell r="F83">
            <v>0.52028280879864641</v>
          </cell>
          <cell r="G83">
            <v>184492.28399999999</v>
          </cell>
          <cell r="H83">
            <v>184492.28399999999</v>
          </cell>
        </row>
        <row r="84">
          <cell r="A84" t="str">
            <v xml:space="preserve">    -----</v>
          </cell>
          <cell r="B84" t="str">
            <v>-</v>
          </cell>
          <cell r="F84" t="str">
            <v xml:space="preserve"> ------- </v>
          </cell>
          <cell r="G84" t="str">
            <v xml:space="preserve"> ------- </v>
          </cell>
          <cell r="H84" t="str">
            <v xml:space="preserve"> ------- </v>
          </cell>
        </row>
        <row r="85">
          <cell r="A85" t="str">
            <v xml:space="preserve"> NET of FEED &amp; PULLET COSTS</v>
          </cell>
          <cell r="F85">
            <v>0.74596719120135369</v>
          </cell>
          <cell r="G85">
            <v>264519.96600000001</v>
          </cell>
          <cell r="H85">
            <v>264519.96600000001</v>
          </cell>
        </row>
        <row r="86">
          <cell r="A86" t="str">
            <v xml:space="preserve">    less Remainder of Variable Costs</v>
          </cell>
          <cell r="F86" t="e">
            <v>#REF!</v>
          </cell>
          <cell r="G86" t="e">
            <v>#REF!</v>
          </cell>
          <cell r="H86" t="e">
            <v>#REF!</v>
          </cell>
        </row>
        <row r="87">
          <cell r="A87" t="str">
            <v xml:space="preserve">    -----</v>
          </cell>
          <cell r="B87" t="str">
            <v>-</v>
          </cell>
          <cell r="F87" t="str">
            <v xml:space="preserve"> ------- </v>
          </cell>
          <cell r="G87" t="str">
            <v xml:space="preserve"> ------- </v>
          </cell>
          <cell r="H87" t="str">
            <v xml:space="preserve"> ------- </v>
          </cell>
        </row>
        <row r="88">
          <cell r="A88" t="str">
            <v>Expected Operating Margin</v>
          </cell>
          <cell r="F88" t="e">
            <v>#REF!</v>
          </cell>
          <cell r="G88" t="e">
            <v>#REF!</v>
          </cell>
          <cell r="H88" t="e">
            <v>#REF!</v>
          </cell>
        </row>
        <row r="89">
          <cell r="A89" t="str">
            <v xml:space="preserve">    less Fixed Costs</v>
          </cell>
          <cell r="F89" t="e">
            <v>#REF!</v>
          </cell>
          <cell r="G89" t="e">
            <v>#REF!</v>
          </cell>
          <cell r="H89" t="e">
            <v>#REF!</v>
          </cell>
        </row>
        <row r="90">
          <cell r="A90" t="str">
            <v xml:space="preserve">    -----</v>
          </cell>
          <cell r="B90" t="str">
            <v>-</v>
          </cell>
          <cell r="F90" t="str">
            <v xml:space="preserve"> ------- </v>
          </cell>
          <cell r="G90" t="str">
            <v xml:space="preserve"> ------- </v>
          </cell>
          <cell r="H90" t="str">
            <v xml:space="preserve"> ------- </v>
          </cell>
        </row>
        <row r="91">
          <cell r="A91" t="str">
            <v>Expected Net Revenue</v>
          </cell>
          <cell r="F91" t="e">
            <v>#REF!</v>
          </cell>
          <cell r="G91" t="e">
            <v>#REF!</v>
          </cell>
          <cell r="H91" t="e">
            <v>#REF!</v>
          </cell>
        </row>
        <row r="92">
          <cell r="F92" t="str">
            <v xml:space="preserve"> =======</v>
          </cell>
          <cell r="G92" t="str">
            <v xml:space="preserve"> =======</v>
          </cell>
          <cell r="H92" t="str">
            <v xml:space="preserve"> =======</v>
          </cell>
        </row>
        <row r="93">
          <cell r="A93" t="str">
            <v>Expected break-even dollars per dozen</v>
          </cell>
        </row>
        <row r="94">
          <cell r="A94" t="str">
            <v>sold; needed to cover:</v>
          </cell>
          <cell r="F94" t="str">
            <v>Variable Costs</v>
          </cell>
          <cell r="H94" t="e">
            <v>#REF!</v>
          </cell>
        </row>
        <row r="95">
          <cell r="F95" t="str">
            <v>Fixed Costs</v>
          </cell>
          <cell r="H95" t="e">
            <v>#REF!</v>
          </cell>
        </row>
        <row r="96">
          <cell r="H96" t="str">
            <v>-</v>
          </cell>
        </row>
        <row r="97">
          <cell r="F97" t="str">
            <v>Total Costs</v>
          </cell>
          <cell r="H97" t="e">
            <v>#REF!</v>
          </cell>
        </row>
        <row r="99">
          <cell r="A99" t="str">
            <v>=</v>
          </cell>
          <cell r="B99" t="str">
            <v>=</v>
          </cell>
          <cell r="C99" t="str">
            <v>=</v>
          </cell>
          <cell r="D99" t="str">
            <v>=</v>
          </cell>
          <cell r="E99" t="str">
            <v>=</v>
          </cell>
          <cell r="F99" t="str">
            <v>=</v>
          </cell>
          <cell r="G99" t="str">
            <v>=</v>
          </cell>
          <cell r="H99" t="str">
            <v>=</v>
          </cell>
          <cell r="I99" t="str">
            <v>=</v>
          </cell>
        </row>
        <row r="102">
          <cell r="G102" t="str">
            <v>Var(Rev)</v>
          </cell>
          <cell r="H102">
            <v>660926972.25000048</v>
          </cell>
        </row>
        <row r="103">
          <cell r="A103" t="str">
            <v>Chance of at least breaking even       ==&gt;</v>
          </cell>
          <cell r="F103" t="e">
            <v>#REF!</v>
          </cell>
          <cell r="G103" t="str">
            <v>Var(SpHn)</v>
          </cell>
          <cell r="H103">
            <v>136437.89062500009</v>
          </cell>
        </row>
        <row r="104">
          <cell r="A104" t="str">
            <v>Chance of at least</v>
          </cell>
          <cell r="C104">
            <v>0</v>
          </cell>
          <cell r="D104" t="str">
            <v>$/year retn ==&gt;</v>
          </cell>
          <cell r="F104" t="e">
            <v>#REF!</v>
          </cell>
          <cell r="G104" t="str">
            <v>Var(PCst)</v>
          </cell>
          <cell r="H104">
            <v>14062500</v>
          </cell>
        </row>
        <row r="105">
          <cell r="A105" t="str">
            <v>Coefficient of variation               ==&gt;</v>
          </cell>
          <cell r="F105">
            <v>5.9227400369279933E-2</v>
          </cell>
          <cell r="G105" t="str">
            <v>Var(FCst)</v>
          </cell>
          <cell r="H105">
            <v>32096706.961974062</v>
          </cell>
        </row>
        <row r="106">
          <cell r="G106" t="str">
            <v>Var(NRv)</v>
          </cell>
          <cell r="H106">
            <v>707231703.7275995</v>
          </cell>
        </row>
        <row r="107">
          <cell r="B107" t="str">
            <v xml:space="preserve">          Returns</v>
          </cell>
          <cell r="E107" t="str">
            <v>Chance of at least</v>
          </cell>
          <cell r="G107" t="str">
            <v>SumStd</v>
          </cell>
          <cell r="H107">
            <v>26593.828301461213</v>
          </cell>
        </row>
        <row r="108">
          <cell r="B108" t="str">
            <v>$/dozen</v>
          </cell>
          <cell r="C108" t="str">
            <v>$/year</v>
          </cell>
          <cell r="D108" t="str">
            <v>$/cycle</v>
          </cell>
          <cell r="E108" t="str">
            <v xml:space="preserve">    this return  </v>
          </cell>
          <cell r="G108" t="str">
            <v>Stddoz</v>
          </cell>
          <cell r="H108">
            <v>7.4996695717600717E-2</v>
          </cell>
        </row>
        <row r="109">
          <cell r="G109" t="str">
            <v>CycleStd</v>
          </cell>
          <cell r="H109">
            <v>26593.828301461213</v>
          </cell>
        </row>
        <row r="110">
          <cell r="B110" t="e">
            <v>#REF!</v>
          </cell>
          <cell r="C110" t="e">
            <v>#REF!</v>
          </cell>
          <cell r="D110" t="e">
            <v>#REF!</v>
          </cell>
          <cell r="E110" t="str">
            <v xml:space="preserve">       17 %</v>
          </cell>
        </row>
        <row r="111">
          <cell r="B111" t="e">
            <v>#REF!</v>
          </cell>
          <cell r="C111" t="e">
            <v>#REF!</v>
          </cell>
          <cell r="D111" t="e">
            <v>#REF!</v>
          </cell>
          <cell r="E111" t="str">
            <v xml:space="preserve">       33 %</v>
          </cell>
        </row>
        <row r="112">
          <cell r="B112" t="e">
            <v>#REF!</v>
          </cell>
          <cell r="C112" t="e">
            <v>#REF!</v>
          </cell>
          <cell r="D112" t="e">
            <v>#REF!</v>
          </cell>
          <cell r="E112" t="str">
            <v xml:space="preserve">       50 %</v>
          </cell>
          <cell r="H112" t="str">
            <v xml:space="preserve"> +b.e.</v>
          </cell>
          <cell r="I112" t="str">
            <v xml:space="preserve"> +profit</v>
          </cell>
        </row>
        <row r="113">
          <cell r="B113" t="e">
            <v>#REF!</v>
          </cell>
          <cell r="C113" t="e">
            <v>#REF!</v>
          </cell>
          <cell r="D113" t="e">
            <v>#REF!</v>
          </cell>
          <cell r="E113" t="str">
            <v xml:space="preserve">       67 %</v>
          </cell>
          <cell r="G113" t="str">
            <v>z</v>
          </cell>
          <cell r="H113" t="e">
            <v>#REF!</v>
          </cell>
          <cell r="I113" t="e">
            <v>#REF!</v>
          </cell>
        </row>
        <row r="114">
          <cell r="B114" t="e">
            <v>#REF!</v>
          </cell>
          <cell r="C114" t="e">
            <v>#REF!</v>
          </cell>
          <cell r="D114" t="e">
            <v>#REF!</v>
          </cell>
          <cell r="E114" t="str">
            <v xml:space="preserve">       83 %</v>
          </cell>
          <cell r="G114" t="str">
            <v>v1</v>
          </cell>
          <cell r="H114" t="e">
            <v>#REF!</v>
          </cell>
          <cell r="I114" t="e">
            <v>#REF!</v>
          </cell>
        </row>
        <row r="115">
          <cell r="G115" t="str">
            <v>v2</v>
          </cell>
          <cell r="H115" t="e">
            <v>#REF!</v>
          </cell>
          <cell r="I115" t="e">
            <v>#REF!</v>
          </cell>
        </row>
        <row r="116">
          <cell r="D116" t="str">
            <v>- End of Budget -</v>
          </cell>
          <cell r="G116" t="str">
            <v>p(vx)</v>
          </cell>
          <cell r="H116" t="e">
            <v>#REF!</v>
          </cell>
          <cell r="I116" t="e">
            <v>#REF!</v>
          </cell>
        </row>
        <row r="117">
          <cell r="A117" t="str">
            <v>=</v>
          </cell>
          <cell r="B117" t="str">
            <v>=</v>
          </cell>
          <cell r="C117" t="str">
            <v>=</v>
          </cell>
          <cell r="D117" t="str">
            <v>=</v>
          </cell>
          <cell r="E117" t="str">
            <v>=</v>
          </cell>
          <cell r="F117" t="str">
            <v>=</v>
          </cell>
          <cell r="G117" t="str">
            <v>=</v>
          </cell>
          <cell r="H117" t="str">
            <v>=</v>
          </cell>
          <cell r="I117"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ULLET"/>
      <sheetName val="TOBACCO"/>
    </sheetNames>
    <sheetDataSet>
      <sheetData sheetId="0">
        <row r="1">
          <cell r="A1" t="str">
            <v>Pullet 1</v>
          </cell>
          <cell r="C1" t="str">
            <v>PULLET ENTERPRISE BUDGET</v>
          </cell>
          <cell r="G1" t="str">
            <v>Revised: May '98</v>
          </cell>
        </row>
        <row r="2">
          <cell r="A2">
            <v>353</v>
          </cell>
          <cell r="F2" t="str">
            <v>Profit / Pullet:</v>
          </cell>
          <cell r="H2" t="e">
            <v>#REF!</v>
          </cell>
        </row>
        <row r="4">
          <cell r="A4" t="str">
            <v>=</v>
          </cell>
          <cell r="B4" t="str">
            <v>=</v>
          </cell>
          <cell r="C4" t="str">
            <v>=</v>
          </cell>
          <cell r="D4" t="str">
            <v>=</v>
          </cell>
          <cell r="E4" t="str">
            <v>=</v>
          </cell>
          <cell r="F4" t="str">
            <v>=</v>
          </cell>
          <cell r="G4" t="str">
            <v>=</v>
          </cell>
          <cell r="H4" t="str">
            <v>=</v>
          </cell>
        </row>
        <row r="5">
          <cell r="A5" t="str">
            <v>Basic quota units per cycle</v>
          </cell>
          <cell r="E5">
            <v>15000</v>
          </cell>
          <cell r="F5" t="str">
            <v>Units</v>
          </cell>
        </row>
        <row r="6">
          <cell r="A6" t="str">
            <v>Additional quota units per cycle</v>
          </cell>
          <cell r="E6">
            <v>0</v>
          </cell>
          <cell r="F6" t="str">
            <v>Units</v>
          </cell>
        </row>
        <row r="7">
          <cell r="A7" t="str">
            <v>Number of quota cycles per year</v>
          </cell>
          <cell r="E7">
            <v>2</v>
          </cell>
          <cell r="F7" t="str">
            <v>cycles</v>
          </cell>
        </row>
        <row r="8">
          <cell r="A8" t="str">
            <v>Calculated total annual production:</v>
          </cell>
          <cell r="E8">
            <v>30000</v>
          </cell>
          <cell r="F8" t="str">
            <v>pul.(Allowed by Allocation)</v>
          </cell>
        </row>
        <row r="9">
          <cell r="A9" t="str">
            <v>Weeks per cycle (growing period)</v>
          </cell>
          <cell r="E9">
            <v>19</v>
          </cell>
          <cell r="F9" t="str">
            <v>weeks/cycle</v>
          </cell>
        </row>
        <row r="11">
          <cell r="E11" t="str">
            <v>Optimistic</v>
          </cell>
          <cell r="F11" t="str">
            <v xml:space="preserve"> Expected</v>
          </cell>
          <cell r="G11" t="str">
            <v xml:space="preserve">   Pessimistic</v>
          </cell>
        </row>
        <row r="12">
          <cell r="E12" t="str">
            <v>-</v>
          </cell>
          <cell r="F12" t="str">
            <v>-</v>
          </cell>
          <cell r="G12" t="str">
            <v>-</v>
          </cell>
          <cell r="H12" t="str">
            <v>-----</v>
          </cell>
        </row>
        <row r="13">
          <cell r="A13" t="str">
            <v>Placement chicks cost ($'s/chick)</v>
          </cell>
          <cell r="E13">
            <v>1.28</v>
          </cell>
          <cell r="F13">
            <v>1.3</v>
          </cell>
          <cell r="G13">
            <v>1.34</v>
          </cell>
        </row>
        <row r="14">
          <cell r="A14" t="str">
            <v>Pullet Price ($'s/Pullet)</v>
          </cell>
          <cell r="E14">
            <v>4.55</v>
          </cell>
          <cell r="F14">
            <v>4.5</v>
          </cell>
          <cell r="G14">
            <v>4.4000000000000004</v>
          </cell>
          <cell r="K14">
            <v>0</v>
          </cell>
        </row>
        <row r="15">
          <cell r="A15" t="str">
            <v>Death loss (%)</v>
          </cell>
          <cell r="E15">
            <v>1.8</v>
          </cell>
          <cell r="F15">
            <v>2</v>
          </cell>
          <cell r="G15">
            <v>2.5</v>
          </cell>
          <cell r="K15" t="e">
            <v>#REF!</v>
          </cell>
        </row>
        <row r="16">
          <cell r="A16" t="str">
            <v>Feed Consumption (total kg's consumed/feed stage/pullet)</v>
          </cell>
          <cell r="K16" t="e">
            <v>#REF!</v>
          </cell>
        </row>
        <row r="17">
          <cell r="B17" t="str">
            <v>Stage 1 (0-6wks)</v>
          </cell>
          <cell r="E17">
            <v>1</v>
          </cell>
          <cell r="F17">
            <v>1.05</v>
          </cell>
          <cell r="G17">
            <v>1.1200000000000001</v>
          </cell>
          <cell r="K17">
            <v>135000</v>
          </cell>
        </row>
        <row r="18">
          <cell r="B18" t="str">
            <v>Stage 2 (6-12wks)</v>
          </cell>
          <cell r="E18">
            <v>2.2799999999999998</v>
          </cell>
          <cell r="F18">
            <v>2.3199999999999998</v>
          </cell>
          <cell r="G18">
            <v>2.5</v>
          </cell>
          <cell r="K18">
            <v>0</v>
          </cell>
        </row>
        <row r="19">
          <cell r="B19" t="str">
            <v>Stage 3 (12-17wks)</v>
          </cell>
          <cell r="E19">
            <v>2</v>
          </cell>
          <cell r="F19">
            <v>2.1</v>
          </cell>
          <cell r="G19">
            <v>2.21</v>
          </cell>
        </row>
        <row r="20">
          <cell r="B20" t="str">
            <v>Stage 4 (17-19wks)</v>
          </cell>
          <cell r="E20">
            <v>0.98</v>
          </cell>
          <cell r="F20">
            <v>1</v>
          </cell>
          <cell r="G20">
            <v>1.1000000000000001</v>
          </cell>
          <cell r="K20" t="str">
            <v>Tran!D3..G14</v>
          </cell>
        </row>
        <row r="21">
          <cell r="A21" t="str">
            <v>Purchased feed price ($'s per tonne)</v>
          </cell>
          <cell r="K21" t="str">
            <v>Allo!C3..J14</v>
          </cell>
        </row>
        <row r="22">
          <cell r="B22" t="str">
            <v>Starter</v>
          </cell>
          <cell r="E22">
            <v>226</v>
          </cell>
          <cell r="F22">
            <v>236</v>
          </cell>
          <cell r="G22">
            <v>246</v>
          </cell>
          <cell r="K22">
            <v>30000</v>
          </cell>
        </row>
        <row r="23">
          <cell r="B23" t="str">
            <v>Grower 1</v>
          </cell>
          <cell r="E23">
            <v>213</v>
          </cell>
          <cell r="F23">
            <v>223</v>
          </cell>
          <cell r="G23">
            <v>233</v>
          </cell>
          <cell r="K23">
            <v>39795.918367346938</v>
          </cell>
        </row>
        <row r="24">
          <cell r="B24" t="str">
            <v>Grower 2</v>
          </cell>
          <cell r="E24">
            <v>197</v>
          </cell>
          <cell r="F24">
            <v>207</v>
          </cell>
          <cell r="G24">
            <v>217</v>
          </cell>
          <cell r="K24">
            <v>43648.775510204083</v>
          </cell>
        </row>
        <row r="25">
          <cell r="B25" t="str">
            <v>Pre-Layer</v>
          </cell>
          <cell r="E25">
            <v>216</v>
          </cell>
          <cell r="F25">
            <v>226</v>
          </cell>
          <cell r="G25">
            <v>236</v>
          </cell>
          <cell r="K25">
            <v>153.0612244897959</v>
          </cell>
        </row>
        <row r="26">
          <cell r="K26">
            <v>356.12244897959181</v>
          </cell>
        </row>
        <row r="27">
          <cell r="A27" t="str">
            <v>Expected yearly chick purchases</v>
          </cell>
          <cell r="F27">
            <v>30612.244897959183</v>
          </cell>
          <cell r="G27" t="str">
            <v>chicks</v>
          </cell>
          <cell r="K27">
            <v>1071.4285714285713</v>
          </cell>
        </row>
        <row r="28">
          <cell r="K28">
            <v>0</v>
          </cell>
        </row>
        <row r="29">
          <cell r="A29" t="str">
            <v>EXPENSES</v>
          </cell>
        </row>
        <row r="30">
          <cell r="A30" t="str">
            <v>-</v>
          </cell>
        </row>
        <row r="31">
          <cell r="A31" t="str">
            <v>Variable Costs:</v>
          </cell>
          <cell r="G31" t="str">
            <v xml:space="preserve"> $/Cycle:</v>
          </cell>
          <cell r="H31" t="str">
            <v xml:space="preserve"> $/Year:</v>
          </cell>
        </row>
        <row r="32">
          <cell r="A32" t="str">
            <v xml:space="preserve"> Feed costs:</v>
          </cell>
          <cell r="G32" t="str">
            <v>-</v>
          </cell>
          <cell r="H32" t="str">
            <v>-</v>
          </cell>
        </row>
        <row r="33">
          <cell r="A33" t="str">
            <v xml:space="preserve">  Purchased feed</v>
          </cell>
          <cell r="G33">
            <v>21824.387755102041</v>
          </cell>
          <cell r="H33">
            <v>43648.775510204083</v>
          </cell>
        </row>
        <row r="34">
          <cell r="A34" t="str">
            <v xml:space="preserve">   kilograms/bird</v>
          </cell>
          <cell r="C34">
            <v>6.4700000000000006</v>
          </cell>
          <cell r="D34" t="str">
            <v>(computed requirement)</v>
          </cell>
        </row>
        <row r="35">
          <cell r="A35" t="str">
            <v xml:space="preserve">   tonnes/cycle</v>
          </cell>
          <cell r="C35">
            <v>99.030612244897966</v>
          </cell>
          <cell r="D35" t="str">
            <v>(computed requirement)</v>
          </cell>
        </row>
        <row r="36">
          <cell r="A36" t="str">
            <v xml:space="preserve">   tonnes/year</v>
          </cell>
          <cell r="C36">
            <v>198.06122448979593</v>
          </cell>
          <cell r="D36" t="str">
            <v>(computed requirement)</v>
          </cell>
        </row>
        <row r="37">
          <cell r="A37" t="str">
            <v xml:space="preserve">   dollars/bird</v>
          </cell>
          <cell r="C37">
            <v>1.4258600000000001</v>
          </cell>
          <cell r="D37" t="str">
            <v>(calculated)</v>
          </cell>
        </row>
        <row r="38">
          <cell r="A38" t="str">
            <v xml:space="preserve">  Other#1</v>
          </cell>
          <cell r="C38">
            <v>0</v>
          </cell>
          <cell r="D38" t="str">
            <v>(cost per cycle)</v>
          </cell>
          <cell r="G38">
            <v>0</v>
          </cell>
          <cell r="H38">
            <v>0</v>
          </cell>
        </row>
        <row r="39">
          <cell r="A39" t="str">
            <v xml:space="preserve">  Other#2</v>
          </cell>
          <cell r="C39">
            <v>0</v>
          </cell>
          <cell r="D39" t="str">
            <v>(cost per cycle)</v>
          </cell>
          <cell r="G39">
            <v>0</v>
          </cell>
          <cell r="H39">
            <v>0</v>
          </cell>
        </row>
        <row r="41">
          <cell r="A41" t="str">
            <v xml:space="preserve">  Homegrown Feed *</v>
          </cell>
        </row>
        <row r="42">
          <cell r="A42" t="str">
            <v xml:space="preserve">    Crop Transfers    (from Transfer Table)</v>
          </cell>
          <cell r="G42" t="e">
            <v>#REF!</v>
          </cell>
          <cell r="H42" t="e">
            <v>#REF!</v>
          </cell>
        </row>
        <row r="43">
          <cell r="A43" t="str">
            <v xml:space="preserve"> Total Feed Costs</v>
          </cell>
          <cell r="G43" t="e">
            <v>#REF!</v>
          </cell>
          <cell r="H43" t="e">
            <v>#REF!</v>
          </cell>
        </row>
        <row r="45">
          <cell r="B45" t="str">
            <v xml:space="preserve">  * (be careful not to include crop costs which</v>
          </cell>
        </row>
        <row r="46">
          <cell r="B46" t="str">
            <v xml:space="preserve">     have already been entered in the transfer table.)</v>
          </cell>
        </row>
        <row r="48">
          <cell r="A48" t="str">
            <v xml:space="preserve"> Expected Yearly Chick Purchases (in dollars)</v>
          </cell>
          <cell r="G48">
            <v>19897.959183673469</v>
          </cell>
          <cell r="H48">
            <v>39795.918367346938</v>
          </cell>
        </row>
        <row r="49">
          <cell r="A49" t="str">
            <v>=</v>
          </cell>
          <cell r="B49" t="str">
            <v>=</v>
          </cell>
          <cell r="C49" t="str">
            <v>=</v>
          </cell>
          <cell r="D49" t="str">
            <v>=</v>
          </cell>
          <cell r="E49" t="str">
            <v>=</v>
          </cell>
          <cell r="F49" t="str">
            <v>=</v>
          </cell>
          <cell r="G49" t="str">
            <v>=</v>
          </cell>
          <cell r="H49" t="str">
            <v>=</v>
          </cell>
        </row>
        <row r="51">
          <cell r="D51" t="str">
            <v xml:space="preserve"> Unit</v>
          </cell>
          <cell r="E51" t="str">
            <v>Number</v>
          </cell>
          <cell r="F51" t="str">
            <v>$/Unit</v>
          </cell>
          <cell r="G51" t="str">
            <v xml:space="preserve">  $/Cycle:</v>
          </cell>
          <cell r="H51" t="str">
            <v xml:space="preserve">   $/Year</v>
          </cell>
        </row>
        <row r="52">
          <cell r="D52" t="str">
            <v>-</v>
          </cell>
          <cell r="E52" t="str">
            <v>-</v>
          </cell>
          <cell r="F52" t="str">
            <v>-</v>
          </cell>
          <cell r="G52" t="str">
            <v>-</v>
          </cell>
          <cell r="H52" t="str">
            <v>-</v>
          </cell>
        </row>
        <row r="53">
          <cell r="A53" t="str">
            <v xml:space="preserve"> Hired Labour</v>
          </cell>
          <cell r="D53" t="str">
            <v>hrs</v>
          </cell>
          <cell r="E53">
            <v>0</v>
          </cell>
          <cell r="F53">
            <v>7.75</v>
          </cell>
          <cell r="G53">
            <v>0</v>
          </cell>
          <cell r="H53">
            <v>0</v>
          </cell>
        </row>
        <row r="54">
          <cell r="A54" t="str">
            <v xml:space="preserve"> Veterinary &amp; Medicine</v>
          </cell>
          <cell r="D54" t="str">
            <v>1000 Chks</v>
          </cell>
          <cell r="E54">
            <v>30.612244897959183</v>
          </cell>
          <cell r="F54">
            <v>5</v>
          </cell>
          <cell r="G54">
            <v>76.530612244897952</v>
          </cell>
          <cell r="H54">
            <v>153.0612244897959</v>
          </cell>
        </row>
        <row r="55">
          <cell r="A55" t="str">
            <v xml:space="preserve"> Bedding</v>
          </cell>
          <cell r="D55" t="str">
            <v>1000 Chks</v>
          </cell>
          <cell r="E55">
            <v>30.612244897959183</v>
          </cell>
          <cell r="F55">
            <v>10</v>
          </cell>
          <cell r="G55">
            <v>153.0612244897959</v>
          </cell>
          <cell r="H55">
            <v>306.12244897959181</v>
          </cell>
        </row>
        <row r="56">
          <cell r="A56" t="str">
            <v xml:space="preserve"> Marketing Board Fees</v>
          </cell>
          <cell r="D56" t="str">
            <v>1000 Chks</v>
          </cell>
          <cell r="E56">
            <v>30.612244897959183</v>
          </cell>
          <cell r="F56">
            <v>20</v>
          </cell>
          <cell r="G56">
            <v>306.12244897959181</v>
          </cell>
          <cell r="H56">
            <v>612.24489795918362</v>
          </cell>
        </row>
        <row r="57">
          <cell r="A57" t="str">
            <v xml:space="preserve"> Transportation</v>
          </cell>
          <cell r="D57" t="str">
            <v>1000 Chks</v>
          </cell>
          <cell r="E57">
            <v>30.612244897959183</v>
          </cell>
          <cell r="F57">
            <v>15</v>
          </cell>
          <cell r="G57">
            <v>229.59183673469389</v>
          </cell>
          <cell r="H57">
            <v>459.18367346938777</v>
          </cell>
        </row>
        <row r="58">
          <cell r="A58" t="str">
            <v xml:space="preserve"> Heat</v>
          </cell>
          <cell r="D58" t="str">
            <v>1000 Chks</v>
          </cell>
          <cell r="E58">
            <v>30.612244897959183</v>
          </cell>
          <cell r="F58">
            <v>0</v>
          </cell>
          <cell r="G58">
            <v>0</v>
          </cell>
          <cell r="H58">
            <v>0</v>
          </cell>
        </row>
        <row r="59">
          <cell r="A59" t="str">
            <v xml:space="preserve"> Custom Work</v>
          </cell>
          <cell r="D59" t="str">
            <v>$</v>
          </cell>
          <cell r="E59">
            <v>0</v>
          </cell>
          <cell r="F59">
            <v>0</v>
          </cell>
          <cell r="G59">
            <v>0</v>
          </cell>
          <cell r="H59">
            <v>0</v>
          </cell>
        </row>
        <row r="60">
          <cell r="A60" t="str">
            <v xml:space="preserve"> Equipment Rental</v>
          </cell>
          <cell r="D60" t="str">
            <v>$</v>
          </cell>
          <cell r="E60">
            <v>0</v>
          </cell>
          <cell r="F60">
            <v>0</v>
          </cell>
          <cell r="G60">
            <v>0</v>
          </cell>
          <cell r="H60">
            <v>0</v>
          </cell>
        </row>
        <row r="61">
          <cell r="A61" t="str">
            <v xml:space="preserve"> Miscellaneous </v>
          </cell>
          <cell r="D61" t="str">
            <v>$</v>
          </cell>
          <cell r="E61">
            <v>1</v>
          </cell>
          <cell r="F61">
            <v>50</v>
          </cell>
          <cell r="G61">
            <v>25</v>
          </cell>
          <cell r="H61">
            <v>50</v>
          </cell>
        </row>
        <row r="63">
          <cell r="D63" t="str">
            <v>Typical</v>
          </cell>
          <cell r="E63" t="str">
            <v xml:space="preserve"> Enterprise</v>
          </cell>
          <cell r="K63" t="str">
            <v>Wfarm!L4</v>
          </cell>
        </row>
        <row r="64">
          <cell r="C64" t="str">
            <v xml:space="preserve">         $/Chick: $ Allocated: $/Chick: $/Cycle: $/Year:</v>
          </cell>
          <cell r="D64" t="str">
            <v>$/1000 Chks</v>
          </cell>
          <cell r="E64" t="str">
            <v xml:space="preserve"> $ Allocated:</v>
          </cell>
          <cell r="G64" t="str">
            <v xml:space="preserve">  $/Cycle:</v>
          </cell>
          <cell r="H64" t="str">
            <v xml:space="preserve">   $/Year</v>
          </cell>
          <cell r="K64" t="str">
            <v>Wfarm!L5</v>
          </cell>
        </row>
        <row r="65">
          <cell r="D65" t="str">
            <v>-</v>
          </cell>
          <cell r="E65" t="str">
            <v>-</v>
          </cell>
          <cell r="F65" t="str">
            <v>---</v>
          </cell>
          <cell r="G65" t="str">
            <v>-</v>
          </cell>
          <cell r="H65" t="str">
            <v>-</v>
          </cell>
          <cell r="K65" t="str">
            <v>Wfarm!L6</v>
          </cell>
        </row>
        <row r="66">
          <cell r="A66" t="str">
            <v xml:space="preserve"> Fuel</v>
          </cell>
          <cell r="D66">
            <v>10</v>
          </cell>
          <cell r="E66" t="e">
            <v>#REF!</v>
          </cell>
          <cell r="G66" t="e">
            <v>#REF!</v>
          </cell>
          <cell r="H66" t="e">
            <v>#REF!</v>
          </cell>
          <cell r="K66" t="str">
            <v>Wfarm!L7</v>
          </cell>
        </row>
        <row r="67">
          <cell r="A67" t="str">
            <v xml:space="preserve"> Mach. Repair &amp; Maint.</v>
          </cell>
          <cell r="D67">
            <v>10</v>
          </cell>
          <cell r="E67" t="e">
            <v>#REF!</v>
          </cell>
          <cell r="G67" t="e">
            <v>#REF!</v>
          </cell>
          <cell r="H67" t="e">
            <v>#REF!</v>
          </cell>
          <cell r="K67" t="str">
            <v>Wfarm!L8</v>
          </cell>
        </row>
        <row r="68">
          <cell r="A68" t="str">
            <v xml:space="preserve"> Bldg. Repair &amp; Maint.</v>
          </cell>
          <cell r="D68">
            <v>10</v>
          </cell>
          <cell r="E68" t="e">
            <v>#REF!</v>
          </cell>
          <cell r="G68" t="e">
            <v>#REF!</v>
          </cell>
          <cell r="H68" t="e">
            <v>#REF!</v>
          </cell>
        </row>
        <row r="69">
          <cell r="A69" t="str">
            <v xml:space="preserve"> Rent and Labour</v>
          </cell>
          <cell r="D69">
            <v>10</v>
          </cell>
          <cell r="E69" t="e">
            <v>#REF!</v>
          </cell>
          <cell r="G69" t="e">
            <v>#REF!</v>
          </cell>
          <cell r="H69" t="e">
            <v>#REF!</v>
          </cell>
        </row>
        <row r="70">
          <cell r="A70" t="str">
            <v xml:space="preserve"> General Variable Costs</v>
          </cell>
          <cell r="D70">
            <v>10</v>
          </cell>
          <cell r="E70" t="e">
            <v>#REF!</v>
          </cell>
          <cell r="G70" t="e">
            <v>#REF!</v>
          </cell>
          <cell r="H70" t="e">
            <v>#REF!</v>
          </cell>
          <cell r="J70" t="e">
            <v>#REF!</v>
          </cell>
          <cell r="K70" t="str">
            <v>Wfarm!L9</v>
          </cell>
        </row>
        <row r="72">
          <cell r="A72" t="str">
            <v>Interest on</v>
          </cell>
          <cell r="C72" t="str">
            <v>% Int.</v>
          </cell>
          <cell r="D72" t="str">
            <v>% Year</v>
          </cell>
        </row>
        <row r="73">
          <cell r="A73" t="str">
            <v>Operating Capital</v>
          </cell>
          <cell r="C73">
            <v>6</v>
          </cell>
          <cell r="D73">
            <v>50</v>
          </cell>
          <cell r="E73" t="e">
            <v>#REF!</v>
          </cell>
          <cell r="G73" t="e">
            <v>#REF!</v>
          </cell>
          <cell r="H73" t="e">
            <v>#REF!</v>
          </cell>
        </row>
        <row r="74">
          <cell r="A74" t="str">
            <v>Total Variable Costs</v>
          </cell>
          <cell r="G74" t="e">
            <v>#REF!</v>
          </cell>
          <cell r="H74" t="e">
            <v>#REF!</v>
          </cell>
        </row>
        <row r="76">
          <cell r="K76" t="str">
            <v>Wfarm!K4</v>
          </cell>
        </row>
        <row r="77">
          <cell r="D77" t="str">
            <v>Typical</v>
          </cell>
          <cell r="E77" t="str">
            <v xml:space="preserve"> Enterprise</v>
          </cell>
          <cell r="K77" t="str">
            <v>Wfarm!K5</v>
          </cell>
        </row>
        <row r="78">
          <cell r="A78" t="str">
            <v>Fixed Costs:</v>
          </cell>
          <cell r="C78" t="str">
            <v xml:space="preserve">         $/Chick: $ Allocated: $/Chick: $/Cycle: $/Year:</v>
          </cell>
          <cell r="D78" t="str">
            <v>$/1000 Chks</v>
          </cell>
          <cell r="E78" t="str">
            <v xml:space="preserve"> $ Allocated:</v>
          </cell>
          <cell r="G78" t="str">
            <v xml:space="preserve">  $/Cycle:</v>
          </cell>
          <cell r="H78" t="str">
            <v xml:space="preserve">   $/Year</v>
          </cell>
          <cell r="K78" t="str">
            <v>Wfarm!K6</v>
          </cell>
        </row>
        <row r="79">
          <cell r="D79" t="str">
            <v>-</v>
          </cell>
          <cell r="E79" t="str">
            <v>-</v>
          </cell>
          <cell r="F79" t="str">
            <v>---</v>
          </cell>
          <cell r="G79" t="str">
            <v>-</v>
          </cell>
          <cell r="H79" t="str">
            <v>-</v>
          </cell>
          <cell r="K79" t="str">
            <v>Wfarm!K7</v>
          </cell>
        </row>
        <row r="80">
          <cell r="A80" t="str">
            <v xml:space="preserve"> Depreciation</v>
          </cell>
          <cell r="D80">
            <v>10</v>
          </cell>
          <cell r="E80" t="e">
            <v>#REF!</v>
          </cell>
          <cell r="G80" t="e">
            <v>#REF!</v>
          </cell>
          <cell r="H80" t="e">
            <v>#REF!</v>
          </cell>
        </row>
        <row r="81">
          <cell r="A81" t="str">
            <v xml:space="preserve"> Interest on Term Loans</v>
          </cell>
          <cell r="D81">
            <v>10</v>
          </cell>
          <cell r="E81" t="e">
            <v>#REF!</v>
          </cell>
          <cell r="G81" t="e">
            <v>#REF!</v>
          </cell>
          <cell r="H81" t="e">
            <v>#REF!</v>
          </cell>
        </row>
        <row r="82">
          <cell r="A82" t="str">
            <v xml:space="preserve"> Long-term Leases</v>
          </cell>
          <cell r="D82">
            <v>10</v>
          </cell>
          <cell r="E82" t="e">
            <v>#REF!</v>
          </cell>
          <cell r="G82" t="e">
            <v>#REF!</v>
          </cell>
          <cell r="H82" t="e">
            <v>#REF!</v>
          </cell>
        </row>
        <row r="83">
          <cell r="A83" t="str">
            <v xml:space="preserve"> General Fixed Costs</v>
          </cell>
          <cell r="D83">
            <v>10</v>
          </cell>
          <cell r="E83" t="e">
            <v>#REF!</v>
          </cell>
          <cell r="G83" t="e">
            <v>#REF!</v>
          </cell>
          <cell r="H83" t="e">
            <v>#REF!</v>
          </cell>
        </row>
        <row r="84">
          <cell r="A84" t="str">
            <v>Total Fixed Costs</v>
          </cell>
          <cell r="G84" t="e">
            <v>#REF!</v>
          </cell>
          <cell r="H84" t="e">
            <v>#REF!</v>
          </cell>
        </row>
        <row r="85">
          <cell r="A85" t="str">
            <v>=</v>
          </cell>
          <cell r="B85" t="str">
            <v>=</v>
          </cell>
          <cell r="C85" t="str">
            <v>=</v>
          </cell>
          <cell r="D85" t="str">
            <v>=</v>
          </cell>
          <cell r="E85" t="str">
            <v>=</v>
          </cell>
          <cell r="F85" t="str">
            <v>=</v>
          </cell>
          <cell r="G85" t="str">
            <v>=</v>
          </cell>
          <cell r="H85" t="str">
            <v>=</v>
          </cell>
        </row>
        <row r="87">
          <cell r="A87" t="str">
            <v>Revenues:</v>
          </cell>
          <cell r="E87" t="str">
            <v>$/bird</v>
          </cell>
          <cell r="F87" t="str">
            <v>$/Cycle</v>
          </cell>
          <cell r="G87" t="str">
            <v>$/Year</v>
          </cell>
        </row>
        <row r="88">
          <cell r="E88" t="str">
            <v>-</v>
          </cell>
          <cell r="F88" t="str">
            <v>-</v>
          </cell>
          <cell r="G88" t="str">
            <v>-</v>
          </cell>
        </row>
        <row r="89">
          <cell r="A89" t="str">
            <v>Total Expected Revenues</v>
          </cell>
          <cell r="E89">
            <v>4.5</v>
          </cell>
          <cell r="F89">
            <v>67500</v>
          </cell>
          <cell r="G89">
            <v>135000</v>
          </cell>
        </row>
        <row r="90">
          <cell r="A90" t="str">
            <v xml:space="preserve">    less: Variable Costs</v>
          </cell>
          <cell r="E90" t="e">
            <v>#REF!</v>
          </cell>
          <cell r="F90" t="e">
            <v>#REF!</v>
          </cell>
          <cell r="G90" t="e">
            <v>#REF!</v>
          </cell>
        </row>
        <row r="91">
          <cell r="A91" t="str">
            <v>Expected Operating Margin</v>
          </cell>
          <cell r="E91" t="e">
            <v>#REF!</v>
          </cell>
          <cell r="F91" t="e">
            <v>#REF!</v>
          </cell>
          <cell r="G91" t="e">
            <v>#REF!</v>
          </cell>
        </row>
        <row r="92">
          <cell r="A92" t="str">
            <v xml:space="preserve">    less: Fixed Costs</v>
          </cell>
          <cell r="E92" t="e">
            <v>#REF!</v>
          </cell>
          <cell r="F92" t="e">
            <v>#REF!</v>
          </cell>
          <cell r="G92" t="e">
            <v>#REF!</v>
          </cell>
        </row>
        <row r="93">
          <cell r="A93" t="str">
            <v>Expected Net Revenue</v>
          </cell>
          <cell r="E93" t="e">
            <v>#REF!</v>
          </cell>
          <cell r="F93" t="e">
            <v>#REF!</v>
          </cell>
          <cell r="G93" t="e">
            <v>#REF!</v>
          </cell>
        </row>
        <row r="95">
          <cell r="A95" t="str">
            <v>Expected break-even dollars per pullet</v>
          </cell>
        </row>
        <row r="96">
          <cell r="A96" t="str">
            <v>for birds sold; needed to cover:</v>
          </cell>
          <cell r="E96" t="str">
            <v>Variable Costs</v>
          </cell>
          <cell r="G96" t="e">
            <v>#REF!</v>
          </cell>
        </row>
        <row r="97">
          <cell r="E97" t="str">
            <v>Fixed Costs</v>
          </cell>
          <cell r="G97" t="e">
            <v>#REF!</v>
          </cell>
        </row>
        <row r="98">
          <cell r="E98" t="str">
            <v>Total Costs</v>
          </cell>
          <cell r="G98" t="e">
            <v>#REF!</v>
          </cell>
          <cell r="I98">
            <v>2.5031249999999998</v>
          </cell>
        </row>
        <row r="99">
          <cell r="A99" t="str">
            <v>=</v>
          </cell>
          <cell r="B99" t="str">
            <v>=</v>
          </cell>
          <cell r="C99" t="str">
            <v>=</v>
          </cell>
          <cell r="D99" t="str">
            <v>=</v>
          </cell>
          <cell r="E99" t="str">
            <v>=</v>
          </cell>
          <cell r="F99" t="str">
            <v>=</v>
          </cell>
          <cell r="G99" t="str">
            <v>=</v>
          </cell>
          <cell r="H99" t="str">
            <v>=</v>
          </cell>
          <cell r="I99">
            <v>9.000000000000016E-4</v>
          </cell>
        </row>
        <row r="100">
          <cell r="I100">
            <v>3.1075560000000038E-4</v>
          </cell>
        </row>
        <row r="101">
          <cell r="I101">
            <v>1.1399609000000011E-3</v>
          </cell>
        </row>
        <row r="102">
          <cell r="B102" t="str">
            <v>Chance of at least breaking even       ==&gt;</v>
          </cell>
          <cell r="G102" t="e">
            <v>#REF!</v>
          </cell>
          <cell r="I102">
            <v>9.1341022499999988E-4</v>
          </cell>
        </row>
        <row r="103">
          <cell r="B103" t="str">
            <v>Chance of at least</v>
          </cell>
          <cell r="D103">
            <v>0</v>
          </cell>
          <cell r="E103" t="str">
            <v>$/cycle retn==&gt;</v>
          </cell>
          <cell r="G103" t="e">
            <v>#REF!</v>
          </cell>
          <cell r="I103">
            <v>2.8387360000000034E-4</v>
          </cell>
        </row>
        <row r="104">
          <cell r="B104" t="str">
            <v>Coefficient of variation               ==&gt;</v>
          </cell>
          <cell r="G104">
            <v>0</v>
          </cell>
          <cell r="I104">
            <v>2349027176.4811535</v>
          </cell>
        </row>
        <row r="105">
          <cell r="I105">
            <v>48466.763627058426</v>
          </cell>
        </row>
        <row r="106">
          <cell r="C106" t="str">
            <v xml:space="preserve">      Returns</v>
          </cell>
          <cell r="F106" t="str">
            <v>Chances of at least</v>
          </cell>
          <cell r="I106">
            <v>1.6155587875686142</v>
          </cell>
        </row>
        <row r="107">
          <cell r="C107" t="str">
            <v>$/pullet</v>
          </cell>
          <cell r="D107" t="str">
            <v>$/cycle</v>
          </cell>
          <cell r="F107" t="str">
            <v>this return per pulletkg</v>
          </cell>
          <cell r="I107">
            <v>24233.381813529213</v>
          </cell>
        </row>
        <row r="108">
          <cell r="I108" t="str">
            <v xml:space="preserve"> +b.e.</v>
          </cell>
          <cell r="J108" t="str">
            <v xml:space="preserve"> +profit</v>
          </cell>
        </row>
        <row r="109">
          <cell r="C109" t="e">
            <v>#REF!</v>
          </cell>
          <cell r="D109" t="e">
            <v>#REF!</v>
          </cell>
          <cell r="F109" t="str">
            <v xml:space="preserve">       17 %</v>
          </cell>
          <cell r="I109" t="e">
            <v>#REF!</v>
          </cell>
          <cell r="J109" t="e">
            <v>#REF!</v>
          </cell>
        </row>
        <row r="110">
          <cell r="C110" t="e">
            <v>#REF!</v>
          </cell>
          <cell r="D110" t="e">
            <v>#REF!</v>
          </cell>
          <cell r="F110" t="str">
            <v xml:space="preserve">       33 %</v>
          </cell>
          <cell r="I110" t="e">
            <v>#REF!</v>
          </cell>
          <cell r="J110" t="e">
            <v>#REF!</v>
          </cell>
        </row>
        <row r="111">
          <cell r="C111" t="e">
            <v>#REF!</v>
          </cell>
          <cell r="D111" t="e">
            <v>#REF!</v>
          </cell>
          <cell r="F111" t="str">
            <v xml:space="preserve">       50 %</v>
          </cell>
          <cell r="I111" t="e">
            <v>#REF!</v>
          </cell>
          <cell r="J111" t="e">
            <v>#REF!</v>
          </cell>
        </row>
        <row r="112">
          <cell r="C112" t="e">
            <v>#REF!</v>
          </cell>
          <cell r="D112" t="e">
            <v>#REF!</v>
          </cell>
          <cell r="F112" t="str">
            <v xml:space="preserve">       67 %</v>
          </cell>
          <cell r="I112" t="e">
            <v>#REF!</v>
          </cell>
          <cell r="J112" t="e">
            <v>#REF!</v>
          </cell>
        </row>
        <row r="113">
          <cell r="C113" t="e">
            <v>#REF!</v>
          </cell>
          <cell r="D113" t="e">
            <v>#REF!</v>
          </cell>
          <cell r="F113" t="str">
            <v xml:space="preserve">       83 %</v>
          </cell>
        </row>
        <row r="115">
          <cell r="D115" t="str">
            <v xml:space="preserve"> - End of Budget -</v>
          </cell>
        </row>
        <row r="116">
          <cell r="A116" t="str">
            <v>=</v>
          </cell>
          <cell r="B116" t="str">
            <v>=</v>
          </cell>
          <cell r="C116" t="str">
            <v>=</v>
          </cell>
          <cell r="D116" t="str">
            <v>=</v>
          </cell>
          <cell r="E116" t="str">
            <v>=</v>
          </cell>
          <cell r="F116" t="str">
            <v>=</v>
          </cell>
          <cell r="G116" t="str">
            <v>=</v>
          </cell>
          <cell r="H116" t="str">
            <v>=</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SPP"/>
    </sheetNames>
    <sheetDataSet>
      <sheetData sheetId="0">
        <row r="1">
          <cell r="A1" t="str">
            <v>Raspp 1</v>
          </cell>
          <cell r="C1" t="str">
            <v>P.Y.O. RASPBERRY ENTERPRISE BUDGET</v>
          </cell>
          <cell r="G1" t="str">
            <v xml:space="preserve">  Revised: Dec '00</v>
          </cell>
        </row>
        <row r="2">
          <cell r="A2">
            <v>809</v>
          </cell>
          <cell r="D2" t="str">
            <v>Revised:  Jun 94</v>
          </cell>
          <cell r="F2" t="str">
            <v>Profit Per Acre:</v>
          </cell>
          <cell r="H2">
            <v>1898.8485982163993</v>
          </cell>
        </row>
        <row r="3">
          <cell r="B3" t="str">
            <v>Number of Acres =</v>
          </cell>
          <cell r="D3">
            <v>1</v>
          </cell>
          <cell r="F3" t="str">
            <v>1 tonne =</v>
          </cell>
          <cell r="G3">
            <v>3150</v>
          </cell>
          <cell r="H3" t="str">
            <v>pints</v>
          </cell>
        </row>
        <row r="5">
          <cell r="C5" t="str">
            <v xml:space="preserve">  Optimistic</v>
          </cell>
          <cell r="E5" t="str">
            <v xml:space="preserve">  Expected</v>
          </cell>
          <cell r="G5" t="str">
            <v xml:space="preserve"> Pessimistic</v>
          </cell>
        </row>
        <row r="6">
          <cell r="A6" t="str">
            <v>Yield - pts</v>
          </cell>
          <cell r="C6">
            <v>3500</v>
          </cell>
          <cell r="E6">
            <v>2700</v>
          </cell>
          <cell r="G6">
            <v>2000</v>
          </cell>
        </row>
        <row r="7">
          <cell r="A7" t="str">
            <v>Price - $/pt</v>
          </cell>
          <cell r="C7">
            <v>2.25</v>
          </cell>
          <cell r="E7">
            <v>2</v>
          </cell>
          <cell r="G7">
            <v>1.75</v>
          </cell>
        </row>
        <row r="8">
          <cell r="A8" t="str">
            <v>Production - pts</v>
          </cell>
          <cell r="C8">
            <v>3500</v>
          </cell>
          <cell r="E8">
            <v>2700</v>
          </cell>
          <cell r="G8">
            <v>2000</v>
          </cell>
        </row>
        <row r="10">
          <cell r="A10" t="str">
            <v xml:space="preserve">  Crop Insurance</v>
          </cell>
        </row>
        <row r="11">
          <cell r="A11" t="str">
            <v xml:space="preserve">   C.I. Premium/ac:</v>
          </cell>
          <cell r="D11">
            <v>0</v>
          </cell>
          <cell r="E11" t="str">
            <v>Expected Years of Harvest:</v>
          </cell>
          <cell r="H11">
            <v>15</v>
          </cell>
        </row>
        <row r="12">
          <cell r="A12" t="str">
            <v xml:space="preserve">   Level of Coverage</v>
          </cell>
          <cell r="D12">
            <v>0</v>
          </cell>
          <cell r="E12" t="str">
            <v>Current Interest Rate:</v>
          </cell>
          <cell r="H12">
            <v>8.5000000000000006E-2</v>
          </cell>
        </row>
        <row r="13">
          <cell r="A13" t="str">
            <v xml:space="preserve">   Guaranteed Yield/ac.</v>
          </cell>
          <cell r="D13">
            <v>0</v>
          </cell>
          <cell r="E13" t="str">
            <v>Current Inflation Rate:</v>
          </cell>
          <cell r="H13">
            <v>0.02</v>
          </cell>
          <cell r="K13">
            <v>0</v>
          </cell>
        </row>
        <row r="14">
          <cell r="A14" t="str">
            <v xml:space="preserve">   Probability of a payout</v>
          </cell>
          <cell r="D14">
            <v>1.6025928897281369E-4</v>
          </cell>
          <cell r="K14">
            <v>0</v>
          </cell>
        </row>
        <row r="15">
          <cell r="A15" t="str">
            <v xml:space="preserve">   Expected Payout/ac</v>
          </cell>
          <cell r="D15">
            <v>5.2452734717463922E-2</v>
          </cell>
          <cell r="K15">
            <v>3270.1514017836007</v>
          </cell>
        </row>
        <row r="16">
          <cell r="D16">
            <v>1.6025928897281369E-4</v>
          </cell>
          <cell r="K16">
            <v>231</v>
          </cell>
        </row>
        <row r="17">
          <cell r="A17" t="str">
            <v>Participate in CI? (y/n)</v>
          </cell>
          <cell r="D17" t="str">
            <v>No</v>
          </cell>
          <cell r="K17">
            <v>5400</v>
          </cell>
        </row>
        <row r="18">
          <cell r="K18">
            <v>1655.5305040983087</v>
          </cell>
        </row>
        <row r="19">
          <cell r="D19" t="str">
            <v>Unit/Ac</v>
          </cell>
          <cell r="E19" t="str">
            <v>Number</v>
          </cell>
          <cell r="F19" t="str">
            <v>Cost/Unit</v>
          </cell>
          <cell r="G19" t="str">
            <v>$/Acre</v>
          </cell>
          <cell r="H19" t="str">
            <v>$/Year</v>
          </cell>
          <cell r="K19">
            <v>0.8571428571428571</v>
          </cell>
        </row>
        <row r="20">
          <cell r="A20" t="str">
            <v>Expenses</v>
          </cell>
          <cell r="D20" t="str">
            <v>-------</v>
          </cell>
          <cell r="E20" t="str">
            <v xml:space="preserve">  ------</v>
          </cell>
          <cell r="F20" t="str">
            <v>-</v>
          </cell>
          <cell r="G20" t="str">
            <v xml:space="preserve">  -------</v>
          </cell>
          <cell r="H20" t="str">
            <v xml:space="preserve">  -------</v>
          </cell>
          <cell r="K20">
            <v>6300</v>
          </cell>
        </row>
        <row r="21">
          <cell r="A21" t="str">
            <v>ESTABLISHMENT COSTS: (preplant, planting, and growth years)</v>
          </cell>
          <cell r="K21" t="str">
            <v>Allo!C3..J14</v>
          </cell>
        </row>
        <row r="22">
          <cell r="A22" t="str">
            <v xml:space="preserve"> Plants</v>
          </cell>
          <cell r="D22" t="str">
            <v>no.</v>
          </cell>
          <cell r="E22">
            <v>2200</v>
          </cell>
          <cell r="F22">
            <v>0.4</v>
          </cell>
          <cell r="G22">
            <v>880</v>
          </cell>
          <cell r="H22">
            <v>880</v>
          </cell>
          <cell r="K22">
            <v>1</v>
          </cell>
        </row>
        <row r="23">
          <cell r="A23" t="str">
            <v xml:space="preserve"> Trellis Materials</v>
          </cell>
          <cell r="D23" t="str">
            <v>$</v>
          </cell>
          <cell r="E23">
            <v>1</v>
          </cell>
          <cell r="F23">
            <v>1640</v>
          </cell>
          <cell r="G23">
            <v>1640</v>
          </cell>
          <cell r="H23">
            <v>1640</v>
          </cell>
          <cell r="K23">
            <v>0</v>
          </cell>
        </row>
        <row r="24">
          <cell r="A24" t="str">
            <v xml:space="preserve"> Trickle Irrigation</v>
          </cell>
          <cell r="D24" t="str">
            <v>$</v>
          </cell>
          <cell r="E24">
            <v>1</v>
          </cell>
          <cell r="F24">
            <v>300</v>
          </cell>
          <cell r="G24">
            <v>300</v>
          </cell>
          <cell r="H24">
            <v>300</v>
          </cell>
          <cell r="K24">
            <v>33.53</v>
          </cell>
        </row>
        <row r="25">
          <cell r="A25" t="str">
            <v xml:space="preserve"> Green Manure Seed</v>
          </cell>
          <cell r="D25" t="str">
            <v>lb</v>
          </cell>
          <cell r="E25">
            <v>20</v>
          </cell>
          <cell r="F25">
            <v>0.9</v>
          </cell>
          <cell r="G25">
            <v>18</v>
          </cell>
          <cell r="H25">
            <v>18</v>
          </cell>
          <cell r="K25">
            <v>93</v>
          </cell>
        </row>
        <row r="26">
          <cell r="A26" t="str">
            <v xml:space="preserve"> Cover Crop Seed</v>
          </cell>
          <cell r="D26" t="str">
            <v>kg</v>
          </cell>
          <cell r="E26">
            <v>2</v>
          </cell>
          <cell r="F26">
            <v>3.5</v>
          </cell>
          <cell r="G26">
            <v>7</v>
          </cell>
          <cell r="H26">
            <v>7</v>
          </cell>
          <cell r="K26">
            <v>2182.621401783601</v>
          </cell>
        </row>
        <row r="27">
          <cell r="A27" t="str">
            <v xml:space="preserve"> Accumulated Direct Costs:</v>
          </cell>
          <cell r="K27">
            <v>254</v>
          </cell>
        </row>
        <row r="28">
          <cell r="A28" t="str">
            <v xml:space="preserve">  Seasonal Labour</v>
          </cell>
          <cell r="D28" t="str">
            <v>hr.</v>
          </cell>
          <cell r="E28">
            <v>83.5</v>
          </cell>
          <cell r="F28">
            <v>7.64</v>
          </cell>
          <cell r="G28">
            <v>637.93999999999994</v>
          </cell>
          <cell r="H28">
            <v>637.93999999999994</v>
          </cell>
          <cell r="K28">
            <v>175</v>
          </cell>
        </row>
        <row r="29">
          <cell r="A29" t="str">
            <v xml:space="preserve">  Operator Labour</v>
          </cell>
          <cell r="D29" t="str">
            <v>hr.</v>
          </cell>
          <cell r="E29">
            <v>33.5</v>
          </cell>
          <cell r="F29">
            <v>11</v>
          </cell>
          <cell r="G29">
            <v>368.5</v>
          </cell>
          <cell r="H29">
            <v>368.5</v>
          </cell>
        </row>
        <row r="30">
          <cell r="A30" t="str">
            <v xml:space="preserve">  Fertilizers</v>
          </cell>
        </row>
        <row r="31">
          <cell r="A31" t="str">
            <v xml:space="preserve">    Preplant Year</v>
          </cell>
          <cell r="J31" t="str">
            <v>Grip prob factor (component of grip)</v>
          </cell>
          <cell r="K31" t="str">
            <v>N/A</v>
          </cell>
        </row>
        <row r="32">
          <cell r="A32" t="str">
            <v xml:space="preserve">      1.</v>
          </cell>
          <cell r="B32" t="str">
            <v>10-20-20</v>
          </cell>
          <cell r="D32" t="str">
            <v>kg or l</v>
          </cell>
          <cell r="E32">
            <v>80</v>
          </cell>
          <cell r="F32">
            <v>0.3</v>
          </cell>
          <cell r="G32">
            <v>24</v>
          </cell>
          <cell r="H32">
            <v>24</v>
          </cell>
          <cell r="J32" t="str">
            <v>C.I. prob factor (component of Crop Insurance)</v>
          </cell>
          <cell r="K32">
            <v>2.1976120000000003</v>
          </cell>
        </row>
        <row r="33">
          <cell r="A33" t="str">
            <v xml:space="preserve">      2.</v>
          </cell>
          <cell r="B33" t="str">
            <v>Manure</v>
          </cell>
          <cell r="D33" t="str">
            <v>ton</v>
          </cell>
          <cell r="E33">
            <v>20</v>
          </cell>
          <cell r="F33">
            <v>12</v>
          </cell>
          <cell r="G33">
            <v>240</v>
          </cell>
          <cell r="H33">
            <v>240</v>
          </cell>
          <cell r="K33">
            <v>0</v>
          </cell>
        </row>
        <row r="34">
          <cell r="A34" t="str">
            <v xml:space="preserve">      3.</v>
          </cell>
          <cell r="B34" t="str">
            <v>Lime</v>
          </cell>
          <cell r="D34" t="str">
            <v>kg or l</v>
          </cell>
          <cell r="E34">
            <v>800</v>
          </cell>
          <cell r="F34">
            <v>3.5000000000000003E-2</v>
          </cell>
          <cell r="G34">
            <v>28.000000000000004</v>
          </cell>
          <cell r="H34">
            <v>28.000000000000004</v>
          </cell>
          <cell r="K34">
            <v>0</v>
          </cell>
        </row>
        <row r="35">
          <cell r="A35" t="str">
            <v xml:space="preserve">    Planting Year</v>
          </cell>
        </row>
        <row r="36">
          <cell r="A36" t="str">
            <v xml:space="preserve">      4.</v>
          </cell>
          <cell r="B36" t="str">
            <v>Am. nitrate</v>
          </cell>
          <cell r="D36" t="str">
            <v>kg or l</v>
          </cell>
          <cell r="E36">
            <v>41</v>
          </cell>
          <cell r="F36">
            <v>0.32</v>
          </cell>
          <cell r="G36">
            <v>13.120000000000001</v>
          </cell>
          <cell r="H36">
            <v>13.120000000000001</v>
          </cell>
        </row>
        <row r="37">
          <cell r="A37" t="str">
            <v xml:space="preserve">      5.</v>
          </cell>
          <cell r="B37" t="str">
            <v>0-46-0</v>
          </cell>
          <cell r="D37" t="str">
            <v>kg or l</v>
          </cell>
          <cell r="E37">
            <v>44</v>
          </cell>
          <cell r="F37">
            <v>0.38</v>
          </cell>
          <cell r="G37">
            <v>16.72</v>
          </cell>
          <cell r="H37">
            <v>16.72</v>
          </cell>
        </row>
        <row r="38">
          <cell r="A38" t="str">
            <v xml:space="preserve">      6.</v>
          </cell>
          <cell r="B38" t="str">
            <v>Muriate of Potash</v>
          </cell>
          <cell r="D38" t="str">
            <v>kg or l</v>
          </cell>
          <cell r="E38">
            <v>40</v>
          </cell>
          <cell r="F38">
            <v>0.23</v>
          </cell>
          <cell r="G38">
            <v>9.2000000000000011</v>
          </cell>
          <cell r="H38">
            <v>9.2000000000000011</v>
          </cell>
        </row>
        <row r="39">
          <cell r="A39" t="str">
            <v xml:space="preserve">    Growth Year</v>
          </cell>
        </row>
        <row r="40">
          <cell r="A40" t="str">
            <v xml:space="preserve">      7.</v>
          </cell>
          <cell r="B40" t="str">
            <v>Am. nitrate</v>
          </cell>
          <cell r="D40" t="str">
            <v>kg or l</v>
          </cell>
          <cell r="E40">
            <v>71</v>
          </cell>
          <cell r="F40">
            <v>0.32</v>
          </cell>
          <cell r="G40">
            <v>22.72</v>
          </cell>
          <cell r="H40">
            <v>22.72</v>
          </cell>
        </row>
        <row r="41">
          <cell r="A41" t="str">
            <v xml:space="preserve">      8.</v>
          </cell>
          <cell r="B41" t="str">
            <v>Muriate of Potash</v>
          </cell>
          <cell r="D41" t="str">
            <v>kg or l</v>
          </cell>
          <cell r="E41">
            <v>46</v>
          </cell>
          <cell r="F41">
            <v>0.23</v>
          </cell>
          <cell r="G41">
            <v>10.58</v>
          </cell>
          <cell r="H41">
            <v>10.58</v>
          </cell>
        </row>
        <row r="42">
          <cell r="A42" t="str">
            <v xml:space="preserve">  Preplant Fumigant</v>
          </cell>
          <cell r="D42" t="str">
            <v>l</v>
          </cell>
          <cell r="E42">
            <v>125</v>
          </cell>
          <cell r="F42">
            <v>8</v>
          </cell>
          <cell r="G42">
            <v>1000</v>
          </cell>
          <cell r="H42">
            <v>1000</v>
          </cell>
        </row>
        <row r="43">
          <cell r="A43" t="str">
            <v xml:space="preserve">  Insecticides</v>
          </cell>
          <cell r="D43" t="str">
            <v>ac</v>
          </cell>
          <cell r="E43">
            <v>1</v>
          </cell>
          <cell r="F43">
            <v>37</v>
          </cell>
          <cell r="G43">
            <v>37</v>
          </cell>
          <cell r="H43">
            <v>37</v>
          </cell>
        </row>
        <row r="44">
          <cell r="A44" t="str">
            <v xml:space="preserve">  Fungicides</v>
          </cell>
          <cell r="D44" t="str">
            <v>ac</v>
          </cell>
          <cell r="E44">
            <v>1</v>
          </cell>
          <cell r="F44">
            <v>118</v>
          </cell>
          <cell r="G44">
            <v>118</v>
          </cell>
          <cell r="H44">
            <v>118</v>
          </cell>
        </row>
        <row r="45">
          <cell r="A45" t="str">
            <v xml:space="preserve">  Herbicides</v>
          </cell>
          <cell r="D45" t="str">
            <v>ac</v>
          </cell>
          <cell r="E45">
            <v>1</v>
          </cell>
          <cell r="F45">
            <v>76</v>
          </cell>
          <cell r="G45">
            <v>76</v>
          </cell>
          <cell r="H45">
            <v>76</v>
          </cell>
        </row>
        <row r="46">
          <cell r="A46" t="str">
            <v xml:space="preserve">  Custom Work -</v>
          </cell>
          <cell r="C46" t="str">
            <v>Fumigant</v>
          </cell>
          <cell r="D46" t="str">
            <v>$</v>
          </cell>
          <cell r="E46">
            <v>1</v>
          </cell>
          <cell r="F46">
            <v>83</v>
          </cell>
          <cell r="G46">
            <v>83</v>
          </cell>
          <cell r="H46">
            <v>83</v>
          </cell>
        </row>
        <row r="51">
          <cell r="A51" t="str">
            <v xml:space="preserve"> Accumulated Indirect Costs</v>
          </cell>
        </row>
        <row r="52">
          <cell r="A52" t="str">
            <v xml:space="preserve">  Fuel</v>
          </cell>
          <cell r="D52" t="str">
            <v>$</v>
          </cell>
          <cell r="E52">
            <v>1</v>
          </cell>
          <cell r="F52">
            <v>265</v>
          </cell>
          <cell r="G52">
            <v>265</v>
          </cell>
          <cell r="H52">
            <v>265</v>
          </cell>
        </row>
        <row r="53">
          <cell r="A53" t="str">
            <v xml:space="preserve">  Equip. Repair &amp; Maint.</v>
          </cell>
          <cell r="D53" t="str">
            <v>$</v>
          </cell>
          <cell r="E53">
            <v>1</v>
          </cell>
          <cell r="F53">
            <v>94</v>
          </cell>
          <cell r="G53">
            <v>94</v>
          </cell>
          <cell r="H53">
            <v>94</v>
          </cell>
        </row>
        <row r="54">
          <cell r="A54" t="str">
            <v xml:space="preserve">  General Variable Costs</v>
          </cell>
          <cell r="D54" t="str">
            <v>$</v>
          </cell>
          <cell r="E54">
            <v>1</v>
          </cell>
          <cell r="F54">
            <v>14</v>
          </cell>
          <cell r="G54">
            <v>14</v>
          </cell>
          <cell r="H54">
            <v>14</v>
          </cell>
        </row>
        <row r="55">
          <cell r="A55" t="str">
            <v xml:space="preserve">  Interest on Oper. Cap.</v>
          </cell>
          <cell r="D55" t="str">
            <v>$</v>
          </cell>
          <cell r="E55">
            <v>1</v>
          </cell>
          <cell r="F55">
            <v>450</v>
          </cell>
          <cell r="G55">
            <v>450</v>
          </cell>
          <cell r="H55">
            <v>450</v>
          </cell>
        </row>
        <row r="56">
          <cell r="H56" t="str">
            <v xml:space="preserve">  -------</v>
          </cell>
        </row>
        <row r="57">
          <cell r="A57" t="str">
            <v>Total Variable Costs for Establishment</v>
          </cell>
          <cell r="H57">
            <v>6352.7800000000007</v>
          </cell>
        </row>
        <row r="59">
          <cell r="D59" t="str">
            <v>Unit/Ac</v>
          </cell>
          <cell r="E59" t="str">
            <v>Number</v>
          </cell>
          <cell r="F59" t="str">
            <v>Cost/Unit</v>
          </cell>
          <cell r="G59" t="str">
            <v>$/Acre</v>
          </cell>
          <cell r="H59" t="str">
            <v>$/Year</v>
          </cell>
        </row>
        <row r="60">
          <cell r="A60" t="str">
            <v>Fixed Costs:</v>
          </cell>
          <cell r="D60" t="str">
            <v>-------</v>
          </cell>
          <cell r="E60" t="str">
            <v xml:space="preserve">  ------</v>
          </cell>
          <cell r="F60" t="str">
            <v>-</v>
          </cell>
          <cell r="G60" t="str">
            <v xml:space="preserve">  -------</v>
          </cell>
          <cell r="H60" t="str">
            <v xml:space="preserve">  -------</v>
          </cell>
        </row>
        <row r="61">
          <cell r="A61" t="str">
            <v xml:space="preserve">  Depreciation</v>
          </cell>
          <cell r="D61" t="str">
            <v>$</v>
          </cell>
          <cell r="E61">
            <v>1</v>
          </cell>
          <cell r="F61">
            <v>193</v>
          </cell>
          <cell r="G61">
            <v>193</v>
          </cell>
          <cell r="H61">
            <v>193</v>
          </cell>
        </row>
        <row r="62">
          <cell r="A62" t="str">
            <v xml:space="preserve">  Interest on Term Loans</v>
          </cell>
          <cell r="D62" t="str">
            <v>$</v>
          </cell>
          <cell r="E62">
            <v>1</v>
          </cell>
          <cell r="F62">
            <v>49</v>
          </cell>
          <cell r="G62">
            <v>49</v>
          </cell>
          <cell r="H62">
            <v>49</v>
          </cell>
        </row>
        <row r="63">
          <cell r="A63" t="str">
            <v xml:space="preserve">  Long-term Leases</v>
          </cell>
          <cell r="D63" t="str">
            <v>$</v>
          </cell>
          <cell r="E63">
            <v>1</v>
          </cell>
          <cell r="F63">
            <v>0</v>
          </cell>
          <cell r="G63">
            <v>0</v>
          </cell>
          <cell r="H63">
            <v>0</v>
          </cell>
        </row>
        <row r="64">
          <cell r="A64" t="str">
            <v xml:space="preserve">  General Fixed Costs</v>
          </cell>
          <cell r="D64" t="str">
            <v>$</v>
          </cell>
          <cell r="E64">
            <v>1</v>
          </cell>
          <cell r="F64">
            <v>250</v>
          </cell>
          <cell r="G64">
            <v>250</v>
          </cell>
          <cell r="H64">
            <v>250</v>
          </cell>
        </row>
        <row r="65">
          <cell r="H65" t="str">
            <v xml:space="preserve">  -------</v>
          </cell>
        </row>
        <row r="66">
          <cell r="A66" t="str">
            <v>Total Fixed Costs for Establishment</v>
          </cell>
          <cell r="H66">
            <v>492</v>
          </cell>
        </row>
        <row r="67">
          <cell r="H67" t="str">
            <v xml:space="preserve">  -------</v>
          </cell>
        </row>
        <row r="68">
          <cell r="A68" t="str">
            <v>TOTAL COSTS FOR ESTABLISHMENT</v>
          </cell>
          <cell r="H68">
            <v>6844.7800000000007</v>
          </cell>
        </row>
        <row r="70">
          <cell r="D70" t="str">
            <v>Unit/Ac</v>
          </cell>
          <cell r="E70" t="str">
            <v>Number</v>
          </cell>
          <cell r="F70" t="str">
            <v>Cost/Unit</v>
          </cell>
          <cell r="G70" t="str">
            <v>$/Acre</v>
          </cell>
          <cell r="H70" t="str">
            <v>$/Year</v>
          </cell>
        </row>
        <row r="71">
          <cell r="A71" t="str">
            <v>ANNUAL PRODUCTION COSTS:</v>
          </cell>
          <cell r="D71" t="str">
            <v>-------</v>
          </cell>
          <cell r="E71" t="str">
            <v xml:space="preserve">  ------</v>
          </cell>
          <cell r="F71" t="str">
            <v>-</v>
          </cell>
          <cell r="G71" t="str">
            <v xml:space="preserve">  -------</v>
          </cell>
          <cell r="H71" t="str">
            <v xml:space="preserve">  -------</v>
          </cell>
        </row>
        <row r="72">
          <cell r="A72" t="str">
            <v xml:space="preserve"> Contribution to Establishment: Direct Entry</v>
          </cell>
          <cell r="F72">
            <v>0</v>
          </cell>
          <cell r="G72">
            <v>727.96140178360088</v>
          </cell>
          <cell r="H72">
            <v>727.96140178360088</v>
          </cell>
        </row>
        <row r="73">
          <cell r="A73" t="str">
            <v xml:space="preserve"> -OR- Amortized over 15 years (Leave Dir. Entry at 0)</v>
          </cell>
          <cell r="G73">
            <v>0.2429</v>
          </cell>
          <cell r="H73" t="str">
            <v>---</v>
          </cell>
        </row>
        <row r="74">
          <cell r="A74" t="str">
            <v xml:space="preserve"> Seasonal Labour</v>
          </cell>
          <cell r="D74" t="str">
            <v>hr.</v>
          </cell>
          <cell r="E74">
            <v>119</v>
          </cell>
          <cell r="F74">
            <v>7.64</v>
          </cell>
          <cell r="G74">
            <v>909.16</v>
          </cell>
          <cell r="H74">
            <v>909.16</v>
          </cell>
        </row>
        <row r="75">
          <cell r="A75" t="str">
            <v xml:space="preserve"> Operator Labour</v>
          </cell>
          <cell r="D75" t="str">
            <v>hr.</v>
          </cell>
          <cell r="E75">
            <v>30.5</v>
          </cell>
          <cell r="F75">
            <v>11</v>
          </cell>
          <cell r="G75">
            <v>335.5</v>
          </cell>
          <cell r="H75">
            <v>335.5</v>
          </cell>
        </row>
        <row r="76">
          <cell r="A76" t="str">
            <v xml:space="preserve"> Fertilizers:</v>
          </cell>
        </row>
        <row r="77">
          <cell r="A77" t="str">
            <v xml:space="preserve">      1.</v>
          </cell>
          <cell r="B77" t="str">
            <v>Am.Nitrate</v>
          </cell>
          <cell r="D77" t="str">
            <v>kg or l</v>
          </cell>
          <cell r="E77">
            <v>71</v>
          </cell>
          <cell r="F77">
            <v>0.32</v>
          </cell>
          <cell r="G77">
            <v>22.72</v>
          </cell>
          <cell r="H77">
            <v>22.72</v>
          </cell>
        </row>
        <row r="78">
          <cell r="A78" t="str">
            <v xml:space="preserve">      2.</v>
          </cell>
          <cell r="B78" t="str">
            <v>Muriate of potash</v>
          </cell>
          <cell r="D78" t="str">
            <v>kg or l</v>
          </cell>
          <cell r="E78">
            <v>47</v>
          </cell>
          <cell r="F78">
            <v>0.23</v>
          </cell>
          <cell r="G78">
            <v>10.81</v>
          </cell>
          <cell r="H78">
            <v>10.81</v>
          </cell>
        </row>
        <row r="79">
          <cell r="A79" t="str">
            <v xml:space="preserve">      3.</v>
          </cell>
          <cell r="B79" t="str">
            <v>Phosphate</v>
          </cell>
          <cell r="D79" t="str">
            <v>kg or l</v>
          </cell>
          <cell r="E79">
            <v>0</v>
          </cell>
          <cell r="F79">
            <v>0</v>
          </cell>
          <cell r="G79">
            <v>0</v>
          </cell>
          <cell r="H79">
            <v>0</v>
          </cell>
        </row>
        <row r="80">
          <cell r="A80" t="str">
            <v xml:space="preserve">      4.</v>
          </cell>
          <cell r="B80" t="str">
            <v>Other Soil App.</v>
          </cell>
          <cell r="D80" t="str">
            <v>kg or l</v>
          </cell>
          <cell r="E80">
            <v>0</v>
          </cell>
          <cell r="F80">
            <v>0</v>
          </cell>
          <cell r="G80">
            <v>0</v>
          </cell>
          <cell r="H80">
            <v>0</v>
          </cell>
        </row>
        <row r="81">
          <cell r="A81" t="str">
            <v xml:space="preserve">      5.</v>
          </cell>
          <cell r="B81" t="str">
            <v>Foliar Fert.</v>
          </cell>
          <cell r="D81" t="str">
            <v>kg or l</v>
          </cell>
          <cell r="E81">
            <v>0</v>
          </cell>
          <cell r="F81">
            <v>0</v>
          </cell>
          <cell r="G81">
            <v>0</v>
          </cell>
          <cell r="H81">
            <v>0</v>
          </cell>
        </row>
        <row r="82">
          <cell r="A82" t="str">
            <v xml:space="preserve"> Lime</v>
          </cell>
          <cell r="D82" t="str">
            <v>tonnes</v>
          </cell>
          <cell r="E82">
            <v>0</v>
          </cell>
          <cell r="F82">
            <v>0</v>
          </cell>
          <cell r="G82">
            <v>0</v>
          </cell>
          <cell r="H82">
            <v>0</v>
          </cell>
        </row>
        <row r="84">
          <cell r="D84" t="str">
            <v>Unit/Ac</v>
          </cell>
          <cell r="E84" t="str">
            <v>Number</v>
          </cell>
          <cell r="F84" t="str">
            <v>Cost/Unit</v>
          </cell>
          <cell r="G84" t="str">
            <v>$/Acre</v>
          </cell>
          <cell r="H84" t="str">
            <v>$/Year</v>
          </cell>
        </row>
        <row r="85">
          <cell r="A85" t="str">
            <v xml:space="preserve"> Spray Materials:</v>
          </cell>
          <cell r="D85" t="str">
            <v>-------</v>
          </cell>
          <cell r="E85" t="str">
            <v xml:space="preserve">  ------</v>
          </cell>
          <cell r="F85" t="str">
            <v>-</v>
          </cell>
          <cell r="G85" t="str">
            <v xml:space="preserve">  -------</v>
          </cell>
          <cell r="H85" t="str">
            <v xml:space="preserve">  -------</v>
          </cell>
        </row>
        <row r="86">
          <cell r="A86" t="str">
            <v xml:space="preserve">  Insecticides:</v>
          </cell>
        </row>
        <row r="87">
          <cell r="A87" t="str">
            <v xml:space="preserve">      1.</v>
          </cell>
          <cell r="B87" t="str">
            <v>All Insecticides</v>
          </cell>
          <cell r="D87" t="str">
            <v>$</v>
          </cell>
          <cell r="E87">
            <v>0</v>
          </cell>
          <cell r="F87">
            <v>15</v>
          </cell>
          <cell r="G87">
            <v>0</v>
          </cell>
          <cell r="H87">
            <v>0</v>
          </cell>
        </row>
        <row r="88">
          <cell r="A88" t="str">
            <v xml:space="preserve">      2.</v>
          </cell>
          <cell r="D88" t="str">
            <v xml:space="preserve"> </v>
          </cell>
          <cell r="E88">
            <v>0</v>
          </cell>
          <cell r="F88">
            <v>0</v>
          </cell>
          <cell r="G88">
            <v>0</v>
          </cell>
          <cell r="H88">
            <v>0</v>
          </cell>
        </row>
        <row r="89">
          <cell r="A89" t="str">
            <v xml:space="preserve">  Miticides:</v>
          </cell>
        </row>
        <row r="90">
          <cell r="A90" t="str">
            <v xml:space="preserve">      1.</v>
          </cell>
          <cell r="B90" t="str">
            <v xml:space="preserve">All Miticides   </v>
          </cell>
          <cell r="D90" t="str">
            <v>$</v>
          </cell>
          <cell r="E90">
            <v>0</v>
          </cell>
          <cell r="F90">
            <v>162</v>
          </cell>
          <cell r="G90">
            <v>0</v>
          </cell>
          <cell r="H90">
            <v>0</v>
          </cell>
        </row>
        <row r="91">
          <cell r="A91" t="str">
            <v xml:space="preserve">      2.</v>
          </cell>
          <cell r="D91" t="str">
            <v xml:space="preserve"> </v>
          </cell>
          <cell r="E91">
            <v>0</v>
          </cell>
          <cell r="F91">
            <v>0</v>
          </cell>
          <cell r="G91">
            <v>0</v>
          </cell>
          <cell r="H91">
            <v>0</v>
          </cell>
        </row>
        <row r="92">
          <cell r="A92" t="str">
            <v xml:space="preserve">  Fungicides:</v>
          </cell>
        </row>
        <row r="93">
          <cell r="A93" t="str">
            <v xml:space="preserve">      1.</v>
          </cell>
          <cell r="B93" t="str">
            <v xml:space="preserve">All Fungicides  </v>
          </cell>
          <cell r="D93" t="str">
            <v>$</v>
          </cell>
          <cell r="E93">
            <v>1</v>
          </cell>
          <cell r="F93">
            <v>64</v>
          </cell>
          <cell r="G93">
            <v>64</v>
          </cell>
          <cell r="H93">
            <v>64</v>
          </cell>
        </row>
        <row r="94">
          <cell r="A94" t="str">
            <v xml:space="preserve">      2.</v>
          </cell>
          <cell r="D94" t="str">
            <v xml:space="preserve"> </v>
          </cell>
          <cell r="E94">
            <v>0</v>
          </cell>
          <cell r="F94">
            <v>0</v>
          </cell>
          <cell r="G94">
            <v>0</v>
          </cell>
          <cell r="H94">
            <v>0</v>
          </cell>
        </row>
        <row r="95">
          <cell r="A95" t="str">
            <v xml:space="preserve">  Herbicides:</v>
          </cell>
        </row>
        <row r="96">
          <cell r="A96" t="str">
            <v xml:space="preserve">      1.</v>
          </cell>
          <cell r="B96" t="str">
            <v xml:space="preserve">All Herbicides  </v>
          </cell>
          <cell r="D96" t="str">
            <v>$</v>
          </cell>
          <cell r="E96">
            <v>1</v>
          </cell>
          <cell r="F96">
            <v>29</v>
          </cell>
          <cell r="G96">
            <v>29</v>
          </cell>
          <cell r="H96">
            <v>29</v>
          </cell>
        </row>
        <row r="97">
          <cell r="A97" t="str">
            <v xml:space="preserve">      2.</v>
          </cell>
          <cell r="D97" t="str">
            <v xml:space="preserve"> </v>
          </cell>
          <cell r="E97">
            <v>0</v>
          </cell>
          <cell r="F97">
            <v>0</v>
          </cell>
          <cell r="G97">
            <v>0</v>
          </cell>
          <cell r="H97">
            <v>0</v>
          </cell>
        </row>
        <row r="99">
          <cell r="D99" t="str">
            <v>Unit/Ac</v>
          </cell>
          <cell r="E99" t="str">
            <v>Number</v>
          </cell>
          <cell r="F99" t="str">
            <v>Cost/Unit</v>
          </cell>
          <cell r="G99" t="str">
            <v>$/Acre</v>
          </cell>
          <cell r="H99" t="str">
            <v>$/Year</v>
          </cell>
        </row>
        <row r="100">
          <cell r="A100" t="str">
            <v xml:space="preserve"> Other Expenses:</v>
          </cell>
          <cell r="D100" t="str">
            <v>-------</v>
          </cell>
          <cell r="E100" t="str">
            <v xml:space="preserve">  ------</v>
          </cell>
          <cell r="F100" t="str">
            <v>-</v>
          </cell>
          <cell r="G100" t="str">
            <v xml:space="preserve">  -------</v>
          </cell>
          <cell r="H100" t="str">
            <v xml:space="preserve">  -------</v>
          </cell>
        </row>
        <row r="101">
          <cell r="A101" t="str">
            <v xml:space="preserve">  Trellis Materials</v>
          </cell>
          <cell r="D101" t="str">
            <v>$</v>
          </cell>
          <cell r="E101">
            <v>1</v>
          </cell>
          <cell r="F101">
            <v>140</v>
          </cell>
          <cell r="G101">
            <v>140</v>
          </cell>
          <cell r="H101">
            <v>140</v>
          </cell>
        </row>
        <row r="102">
          <cell r="A102" t="str">
            <v xml:space="preserve">  Advertising</v>
          </cell>
          <cell r="D102" t="str">
            <v>$</v>
          </cell>
          <cell r="E102">
            <v>1</v>
          </cell>
          <cell r="F102">
            <v>254</v>
          </cell>
          <cell r="G102">
            <v>254</v>
          </cell>
          <cell r="H102">
            <v>254</v>
          </cell>
        </row>
        <row r="103">
          <cell r="A103" t="str">
            <v xml:space="preserve">  Parking Area Maintenance</v>
          </cell>
          <cell r="D103" t="str">
            <v>$</v>
          </cell>
          <cell r="E103">
            <v>1</v>
          </cell>
          <cell r="F103">
            <v>70</v>
          </cell>
          <cell r="G103">
            <v>70</v>
          </cell>
          <cell r="H103">
            <v>70</v>
          </cell>
        </row>
        <row r="104">
          <cell r="A104" t="str">
            <v xml:space="preserve">  Crop Insurance</v>
          </cell>
          <cell r="D104" t="str">
            <v>Insurance</v>
          </cell>
          <cell r="E104">
            <v>0</v>
          </cell>
          <cell r="F104">
            <v>0</v>
          </cell>
          <cell r="G104">
            <v>0</v>
          </cell>
          <cell r="H104">
            <v>0</v>
          </cell>
        </row>
        <row r="105">
          <cell r="A105" t="str">
            <v xml:space="preserve">  Other</v>
          </cell>
          <cell r="D105" t="str">
            <v>$</v>
          </cell>
          <cell r="E105">
            <v>0</v>
          </cell>
          <cell r="F105">
            <v>0</v>
          </cell>
          <cell r="G105">
            <v>0</v>
          </cell>
          <cell r="H105">
            <v>0</v>
          </cell>
        </row>
        <row r="106">
          <cell r="A106" t="str">
            <v xml:space="preserve">  Other</v>
          </cell>
          <cell r="D106" t="str">
            <v>$</v>
          </cell>
          <cell r="E106">
            <v>0</v>
          </cell>
          <cell r="F106">
            <v>0</v>
          </cell>
          <cell r="G106">
            <v>0</v>
          </cell>
          <cell r="H106">
            <v>0</v>
          </cell>
        </row>
        <row r="107">
          <cell r="A107" t="str">
            <v xml:space="preserve">  Custom Work, Rentals:</v>
          </cell>
        </row>
        <row r="108">
          <cell r="A108" t="str">
            <v xml:space="preserve">   Comfort Station Rental</v>
          </cell>
          <cell r="D108" t="str">
            <v>$</v>
          </cell>
          <cell r="E108">
            <v>1</v>
          </cell>
          <cell r="F108">
            <v>25</v>
          </cell>
          <cell r="G108">
            <v>25</v>
          </cell>
          <cell r="H108">
            <v>25</v>
          </cell>
        </row>
        <row r="109">
          <cell r="A109" t="str">
            <v xml:space="preserve">   Checkout Equip. Rental</v>
          </cell>
          <cell r="D109" t="str">
            <v>no.</v>
          </cell>
          <cell r="E109">
            <v>1</v>
          </cell>
          <cell r="F109">
            <v>150</v>
          </cell>
          <cell r="G109">
            <v>150</v>
          </cell>
          <cell r="H109">
            <v>150</v>
          </cell>
        </row>
        <row r="111">
          <cell r="D111" t="str">
            <v>Typical</v>
          </cell>
          <cell r="E111" t="str">
            <v xml:space="preserve"> Enterprise</v>
          </cell>
        </row>
        <row r="112">
          <cell r="D112" t="str">
            <v xml:space="preserve"> $/Acre</v>
          </cell>
          <cell r="E112" t="str">
            <v xml:space="preserve"> $ Allocated</v>
          </cell>
          <cell r="G112" t="str">
            <v>$/Acre</v>
          </cell>
          <cell r="H112" t="str">
            <v>$/Year</v>
          </cell>
        </row>
        <row r="113">
          <cell r="A113" t="str">
            <v xml:space="preserve"> Fuel</v>
          </cell>
          <cell r="D113">
            <v>302</v>
          </cell>
          <cell r="E113">
            <v>0</v>
          </cell>
          <cell r="G113">
            <v>302</v>
          </cell>
          <cell r="H113">
            <v>302</v>
          </cell>
          <cell r="K113" t="str">
            <v>Wfarm!L4</v>
          </cell>
        </row>
        <row r="114">
          <cell r="A114" t="str">
            <v xml:space="preserve"> Mach. Repair &amp; Maint.</v>
          </cell>
          <cell r="D114">
            <v>107</v>
          </cell>
          <cell r="E114">
            <v>0</v>
          </cell>
          <cell r="G114">
            <v>107</v>
          </cell>
          <cell r="H114">
            <v>107</v>
          </cell>
          <cell r="K114" t="str">
            <v>Wfarm!L5</v>
          </cell>
        </row>
        <row r="115">
          <cell r="A115" t="str">
            <v xml:space="preserve"> Bldg. Repair &amp; Maint.</v>
          </cell>
          <cell r="D115">
            <v>0</v>
          </cell>
          <cell r="E115">
            <v>0</v>
          </cell>
          <cell r="G115">
            <v>0</v>
          </cell>
          <cell r="H115">
            <v>0</v>
          </cell>
          <cell r="K115" t="str">
            <v>Wfarm!L6</v>
          </cell>
        </row>
        <row r="116">
          <cell r="A116" t="str">
            <v xml:space="preserve"> Rent and Labour</v>
          </cell>
          <cell r="D116">
            <v>0</v>
          </cell>
          <cell r="E116">
            <v>0</v>
          </cell>
          <cell r="G116">
            <v>0</v>
          </cell>
          <cell r="H116">
            <v>0</v>
          </cell>
          <cell r="K116" t="str">
            <v>Wfarm!L7</v>
          </cell>
        </row>
        <row r="117">
          <cell r="A117" t="str">
            <v xml:space="preserve"> General Variable Costs</v>
          </cell>
          <cell r="D117">
            <v>0</v>
          </cell>
          <cell r="E117">
            <v>0</v>
          </cell>
          <cell r="G117">
            <v>0</v>
          </cell>
          <cell r="H117">
            <v>0</v>
          </cell>
          <cell r="K117" t="str">
            <v>Wfarm!L8</v>
          </cell>
        </row>
        <row r="119">
          <cell r="A119" t="str">
            <v>Interest on</v>
          </cell>
          <cell r="C119" t="str">
            <v>%int</v>
          </cell>
          <cell r="D119" t="str">
            <v>%year</v>
          </cell>
        </row>
        <row r="120">
          <cell r="A120" t="str">
            <v>Operating Capital</v>
          </cell>
          <cell r="C120">
            <v>8.5</v>
          </cell>
          <cell r="D120">
            <v>60</v>
          </cell>
          <cell r="E120">
            <v>0</v>
          </cell>
          <cell r="G120">
            <v>123</v>
          </cell>
          <cell r="H120">
            <v>123</v>
          </cell>
          <cell r="J120">
            <v>123</v>
          </cell>
          <cell r="K120" t="str">
            <v>Wfarm!L9</v>
          </cell>
        </row>
        <row r="121">
          <cell r="G121" t="str">
            <v xml:space="preserve">  -------</v>
          </cell>
          <cell r="H121" t="str">
            <v xml:space="preserve">  -------</v>
          </cell>
        </row>
        <row r="122">
          <cell r="A122" t="str">
            <v>Total Variable Costs</v>
          </cell>
          <cell r="G122">
            <v>3270.1514017836007</v>
          </cell>
          <cell r="H122">
            <v>3270.1514017836007</v>
          </cell>
        </row>
        <row r="124">
          <cell r="D124" t="str">
            <v>Typical</v>
          </cell>
          <cell r="E124" t="str">
            <v xml:space="preserve"> Enterprise</v>
          </cell>
        </row>
        <row r="125">
          <cell r="A125" t="str">
            <v>Fixed Costs:</v>
          </cell>
          <cell r="D125" t="str">
            <v xml:space="preserve"> $/Acre</v>
          </cell>
          <cell r="E125" t="str">
            <v xml:space="preserve"> $ Allocated</v>
          </cell>
          <cell r="G125" t="str">
            <v>$/Acre</v>
          </cell>
          <cell r="H125" t="str">
            <v>$/Year</v>
          </cell>
        </row>
        <row r="126">
          <cell r="A126" t="str">
            <v xml:space="preserve"> Depreciation</v>
          </cell>
          <cell r="D126">
            <v>105</v>
          </cell>
          <cell r="E126">
            <v>0</v>
          </cell>
          <cell r="G126">
            <v>105</v>
          </cell>
          <cell r="H126">
            <v>105</v>
          </cell>
        </row>
        <row r="127">
          <cell r="A127" t="str">
            <v xml:space="preserve"> Interest on Term Loans</v>
          </cell>
          <cell r="D127">
            <v>26</v>
          </cell>
          <cell r="E127">
            <v>0</v>
          </cell>
          <cell r="G127">
            <v>26</v>
          </cell>
          <cell r="H127">
            <v>26</v>
          </cell>
          <cell r="K127" t="str">
            <v>Wfarm!K4</v>
          </cell>
        </row>
        <row r="128">
          <cell r="A128" t="str">
            <v xml:space="preserve"> Long-term Leases</v>
          </cell>
          <cell r="D128">
            <v>0</v>
          </cell>
          <cell r="E128">
            <v>0</v>
          </cell>
          <cell r="G128">
            <v>0</v>
          </cell>
          <cell r="H128">
            <v>0</v>
          </cell>
          <cell r="K128" t="str">
            <v>Wfarm!K5</v>
          </cell>
        </row>
        <row r="129">
          <cell r="A129" t="str">
            <v xml:space="preserve"> General Fixed Costs</v>
          </cell>
          <cell r="D129">
            <v>100</v>
          </cell>
          <cell r="E129">
            <v>0</v>
          </cell>
          <cell r="G129">
            <v>100</v>
          </cell>
          <cell r="H129">
            <v>100</v>
          </cell>
          <cell r="K129" t="str">
            <v>Wfarm!K6</v>
          </cell>
        </row>
        <row r="130">
          <cell r="G130" t="str">
            <v xml:space="preserve">  -------</v>
          </cell>
          <cell r="H130" t="str">
            <v xml:space="preserve">  -------</v>
          </cell>
          <cell r="K130" t="str">
            <v>Wfarm!K7</v>
          </cell>
        </row>
        <row r="131">
          <cell r="A131" t="str">
            <v>Total Fixed Costs</v>
          </cell>
          <cell r="G131">
            <v>231</v>
          </cell>
          <cell r="H131">
            <v>231</v>
          </cell>
        </row>
        <row r="134">
          <cell r="A134" t="str">
            <v>Revenues:</v>
          </cell>
          <cell r="E134" t="str">
            <v>$/Acre</v>
          </cell>
          <cell r="F134" t="str">
            <v>$/Year</v>
          </cell>
        </row>
        <row r="135">
          <cell r="A135" t="str">
            <v>Total Expected Revenues</v>
          </cell>
          <cell r="E135">
            <v>5400</v>
          </cell>
          <cell r="F135">
            <v>5400</v>
          </cell>
        </row>
        <row r="136">
          <cell r="A136" t="str">
            <v xml:space="preserve">    add: Expected Insurance Revenues</v>
          </cell>
          <cell r="E136">
            <v>0</v>
          </cell>
          <cell r="F136">
            <v>0</v>
          </cell>
        </row>
        <row r="137">
          <cell r="A137" t="str">
            <v xml:space="preserve">    less: Variable Costs</v>
          </cell>
          <cell r="E137">
            <v>3270.1514017836007</v>
          </cell>
          <cell r="F137">
            <v>3270.1514017836007</v>
          </cell>
        </row>
        <row r="138">
          <cell r="E138" t="str">
            <v xml:space="preserve">  -------</v>
          </cell>
          <cell r="F138" t="str">
            <v xml:space="preserve">  -------</v>
          </cell>
        </row>
        <row r="139">
          <cell r="A139" t="str">
            <v>Expected Operating Margin</v>
          </cell>
          <cell r="E139">
            <v>2129.8485982163993</v>
          </cell>
          <cell r="F139">
            <v>2129.8485982163993</v>
          </cell>
        </row>
        <row r="140">
          <cell r="A140" t="str">
            <v xml:space="preserve">    less: Fixed Costs</v>
          </cell>
          <cell r="E140">
            <v>231</v>
          </cell>
          <cell r="F140">
            <v>231</v>
          </cell>
        </row>
        <row r="141">
          <cell r="E141" t="str">
            <v xml:space="preserve">  -------</v>
          </cell>
          <cell r="F141" t="str">
            <v xml:space="preserve">  -------</v>
          </cell>
        </row>
        <row r="142">
          <cell r="A142" t="str">
            <v>Expected Net Revenue</v>
          </cell>
          <cell r="E142">
            <v>1898.8485982163993</v>
          </cell>
          <cell r="F142">
            <v>1898.8485982163993</v>
          </cell>
        </row>
        <row r="144">
          <cell r="A144" t="str">
            <v xml:space="preserve">         Break-even $/pt to cover:</v>
          </cell>
          <cell r="E144" t="str">
            <v>Variable Costs</v>
          </cell>
          <cell r="G144">
            <v>1.211167185845778</v>
          </cell>
        </row>
        <row r="145">
          <cell r="E145" t="str">
            <v>Fixed Costs</v>
          </cell>
          <cell r="G145">
            <v>8.5555555555555551E-2</v>
          </cell>
          <cell r="I145">
            <v>1898.8485982163993</v>
          </cell>
        </row>
        <row r="146">
          <cell r="G146" t="str">
            <v xml:space="preserve">  -------</v>
          </cell>
          <cell r="I146">
            <v>750</v>
          </cell>
        </row>
        <row r="147">
          <cell r="E147" t="str">
            <v>Total Costs</v>
          </cell>
          <cell r="G147">
            <v>1.2967227414013336</v>
          </cell>
          <cell r="I147">
            <v>0.25</v>
          </cell>
        </row>
        <row r="148">
          <cell r="I148">
            <v>1655.5305040983087</v>
          </cell>
        </row>
        <row r="150">
          <cell r="I150">
            <v>1.1469728848340459</v>
          </cell>
          <cell r="J150">
            <v>1.1469728848340459</v>
          </cell>
        </row>
        <row r="151">
          <cell r="I151">
            <v>0.79008476594260901</v>
          </cell>
          <cell r="J151">
            <v>0.79008476594260901</v>
          </cell>
        </row>
        <row r="152">
          <cell r="B152" t="str">
            <v>Chance of at least breaking even         ==&gt;</v>
          </cell>
          <cell r="G152">
            <v>0.87430353367650804</v>
          </cell>
          <cell r="I152">
            <v>0.20665347320562363</v>
          </cell>
          <cell r="J152">
            <v>0.20665347320562363</v>
          </cell>
        </row>
        <row r="153">
          <cell r="B153" t="str">
            <v>Chance of at least</v>
          </cell>
          <cell r="D153">
            <v>0</v>
          </cell>
          <cell r="E153" t="str">
            <v>$/acre return  ==&gt;</v>
          </cell>
          <cell r="G153">
            <v>0.87430353367650804</v>
          </cell>
          <cell r="I153">
            <v>0.12569646632349196</v>
          </cell>
          <cell r="J153">
            <v>0.12569646632349196</v>
          </cell>
        </row>
        <row r="154">
          <cell r="B154" t="str">
            <v>Coefficient of variation                 ==&gt;</v>
          </cell>
          <cell r="G154">
            <v>0.30657972298116826</v>
          </cell>
        </row>
        <row r="155">
          <cell r="H155" t="str">
            <v>mn</v>
          </cell>
        </row>
        <row r="156">
          <cell r="C156" t="str">
            <v>Returns $/acre</v>
          </cell>
          <cell r="E156" t="str">
            <v>Chances of at least</v>
          </cell>
          <cell r="H156" t="str">
            <v>ystd</v>
          </cell>
        </row>
        <row r="157">
          <cell r="E157" t="str">
            <v>this return per acre</v>
          </cell>
          <cell r="H157" t="str">
            <v>pstd</v>
          </cell>
        </row>
        <row r="158">
          <cell r="H158" t="str">
            <v>nrstd</v>
          </cell>
        </row>
        <row r="159">
          <cell r="C159">
            <v>3504.7131871917586</v>
          </cell>
          <cell r="E159" t="str">
            <v xml:space="preserve">       17 %</v>
          </cell>
        </row>
        <row r="162">
          <cell r="C162">
            <v>1186.9704814541265</v>
          </cell>
          <cell r="E162" t="str">
            <v xml:space="preserve">       67 %</v>
          </cell>
          <cell r="H162" t="str">
            <v>v2</v>
          </cell>
        </row>
        <row r="163">
          <cell r="C163">
            <v>292.98400924103998</v>
          </cell>
          <cell r="E163" t="str">
            <v xml:space="preserve">       83 %</v>
          </cell>
          <cell r="H163" t="str">
            <v>p(vx)</v>
          </cell>
        </row>
        <row r="164">
          <cell r="H164" t="str">
            <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ANOL"/>
    </sheetNames>
    <sheetDataSet>
      <sheetData sheetId="0">
        <row r="1">
          <cell r="A1" t="str">
            <v>Scanol 1</v>
          </cell>
          <cell r="C1" t="str">
            <v>SPRING CANOLA ENTERPRISE BUDGET</v>
          </cell>
          <cell r="G1" t="str">
            <v xml:space="preserve">  Revised: Dec'00</v>
          </cell>
        </row>
        <row r="2">
          <cell r="A2">
            <v>603</v>
          </cell>
          <cell r="F2" t="str">
            <v>Profit Per Acre</v>
          </cell>
          <cell r="H2">
            <v>2.7354198463451667</v>
          </cell>
        </row>
        <row r="3">
          <cell r="B3" t="str">
            <v>Number of Acres =</v>
          </cell>
          <cell r="D3">
            <v>1</v>
          </cell>
          <cell r="F3" t="str">
            <v xml:space="preserve">    1 t =</v>
          </cell>
          <cell r="G3">
            <v>44.091999999999999</v>
          </cell>
          <cell r="H3" t="str">
            <v>bu</v>
          </cell>
        </row>
        <row r="6">
          <cell r="C6" t="str">
            <v xml:space="preserve">  Optimistic</v>
          </cell>
          <cell r="E6" t="str">
            <v xml:space="preserve">  Expected</v>
          </cell>
          <cell r="G6" t="str">
            <v xml:space="preserve"> Pessimistic</v>
          </cell>
        </row>
        <row r="7">
          <cell r="A7" t="str">
            <v>Yield - tonne/ac</v>
          </cell>
          <cell r="C7">
            <v>1</v>
          </cell>
          <cell r="E7">
            <v>0.9</v>
          </cell>
          <cell r="G7">
            <v>0.75</v>
          </cell>
        </row>
        <row r="8">
          <cell r="A8" t="str">
            <v>Price - $/tonne</v>
          </cell>
          <cell r="C8">
            <v>420</v>
          </cell>
          <cell r="E8">
            <v>300</v>
          </cell>
          <cell r="G8">
            <v>270</v>
          </cell>
        </row>
        <row r="9">
          <cell r="A9" t="str">
            <v>Production - tonne</v>
          </cell>
          <cell r="C9">
            <v>1</v>
          </cell>
          <cell r="E9">
            <v>0.9</v>
          </cell>
          <cell r="G9">
            <v>0.75</v>
          </cell>
        </row>
        <row r="11">
          <cell r="D11" t="str">
            <v>Insurance Evaluation</v>
          </cell>
        </row>
        <row r="12">
          <cell r="A12" t="str">
            <v>Market Revenue Ins.</v>
          </cell>
          <cell r="E12" t="str">
            <v xml:space="preserve">  Crop Insurance</v>
          </cell>
        </row>
        <row r="13">
          <cell r="A13" t="str">
            <v xml:space="preserve"> Premium/ac:</v>
          </cell>
          <cell r="D13">
            <v>1.3053313143189418E-4</v>
          </cell>
          <cell r="E13" t="str">
            <v xml:space="preserve">   C.I. Premium/ac:</v>
          </cell>
          <cell r="H13">
            <v>6.05</v>
          </cell>
          <cell r="K13">
            <v>3.9555494373301264E-4</v>
          </cell>
        </row>
        <row r="14">
          <cell r="A14" t="str">
            <v xml:space="preserve"> Guaranteed Price/lb.</v>
          </cell>
          <cell r="D14" t="str">
            <v>n/a</v>
          </cell>
          <cell r="E14" t="str">
            <v xml:space="preserve">   Level of Coverage</v>
          </cell>
          <cell r="H14">
            <v>0.85</v>
          </cell>
          <cell r="K14">
            <v>2.6775556008018486</v>
          </cell>
        </row>
        <row r="15">
          <cell r="A15" t="str">
            <v xml:space="preserve"> Guaranteed Price/t</v>
          </cell>
          <cell r="D15">
            <v>0</v>
          </cell>
          <cell r="E15" t="str">
            <v xml:space="preserve">   Guaranteed Yield/ac.</v>
          </cell>
          <cell r="H15">
            <v>0.76500000000000001</v>
          </cell>
          <cell r="K15">
            <v>221.94213575445667</v>
          </cell>
        </row>
        <row r="16">
          <cell r="A16" t="str">
            <v xml:space="preserve"> Probability of a payout</v>
          </cell>
          <cell r="D16">
            <v>1E-4</v>
          </cell>
          <cell r="E16" t="str">
            <v xml:space="preserve">   Probability of a payout</v>
          </cell>
          <cell r="H16">
            <v>0.14005792981068957</v>
          </cell>
          <cell r="K16">
            <v>48</v>
          </cell>
        </row>
        <row r="17">
          <cell r="A17" t="str">
            <v xml:space="preserve"> Expected Payout/ac</v>
          </cell>
          <cell r="D17">
            <v>3.9555494373301264E-4</v>
          </cell>
          <cell r="E17" t="str">
            <v xml:space="preserve">   Expected Payout/ac</v>
          </cell>
          <cell r="H17">
            <v>2.6771600458581157</v>
          </cell>
          <cell r="K17">
            <v>270</v>
          </cell>
        </row>
        <row r="18">
          <cell r="D18">
            <v>3.199253813109907E-5</v>
          </cell>
          <cell r="H18">
            <v>0.14005792981068957</v>
          </cell>
          <cell r="K18">
            <v>101.41122435184933</v>
          </cell>
        </row>
        <row r="19">
          <cell r="A19" t="str">
            <v>Participate in MRIP? (y/n)</v>
          </cell>
          <cell r="D19" t="str">
            <v>Yes</v>
          </cell>
          <cell r="E19" t="str">
            <v xml:space="preserve">  Participate in CI? (y/n)</v>
          </cell>
          <cell r="H19" t="str">
            <v>Yes</v>
          </cell>
          <cell r="K19">
            <v>0.9</v>
          </cell>
        </row>
        <row r="20">
          <cell r="K20">
            <v>300</v>
          </cell>
        </row>
        <row r="21">
          <cell r="D21" t="str">
            <v>Unit/Ac</v>
          </cell>
          <cell r="E21" t="str">
            <v>Number</v>
          </cell>
          <cell r="F21" t="str">
            <v>Cost/Unit</v>
          </cell>
          <cell r="G21" t="str">
            <v>$/Acre</v>
          </cell>
          <cell r="H21" t="str">
            <v>$/Year</v>
          </cell>
          <cell r="K21" t="str">
            <v>Allo!C3..J14</v>
          </cell>
        </row>
        <row r="22">
          <cell r="A22" t="str">
            <v>Expenses</v>
          </cell>
          <cell r="D22" t="str">
            <v>-------</v>
          </cell>
          <cell r="E22" t="str">
            <v xml:space="preserve">  ------</v>
          </cell>
          <cell r="F22" t="str">
            <v>-</v>
          </cell>
          <cell r="G22" t="str">
            <v xml:space="preserve">  -------</v>
          </cell>
          <cell r="H22" t="str">
            <v xml:space="preserve">  -------</v>
          </cell>
          <cell r="K22">
            <v>1</v>
          </cell>
        </row>
        <row r="23">
          <cell r="A23" t="str">
            <v>Variable Costs:</v>
          </cell>
          <cell r="K23">
            <v>15</v>
          </cell>
        </row>
        <row r="24">
          <cell r="A24" t="str">
            <v xml:space="preserve"> Seed </v>
          </cell>
          <cell r="D24" t="str">
            <v>kg</v>
          </cell>
          <cell r="E24">
            <v>2</v>
          </cell>
          <cell r="F24">
            <v>7.5</v>
          </cell>
          <cell r="G24">
            <v>15</v>
          </cell>
          <cell r="H24">
            <v>15</v>
          </cell>
          <cell r="K24">
            <v>56.8</v>
          </cell>
        </row>
        <row r="25">
          <cell r="A25" t="str">
            <v xml:space="preserve"> Seed Treatment</v>
          </cell>
          <cell r="D25" t="str">
            <v>kg</v>
          </cell>
          <cell r="E25">
            <v>0</v>
          </cell>
          <cell r="F25">
            <v>0</v>
          </cell>
          <cell r="G25">
            <v>0</v>
          </cell>
          <cell r="H25">
            <v>0</v>
          </cell>
          <cell r="K25">
            <v>18</v>
          </cell>
        </row>
        <row r="26">
          <cell r="A26" t="str">
            <v xml:space="preserve"> Fertilizer   </v>
          </cell>
          <cell r="B26" t="str">
            <v>#1</v>
          </cell>
          <cell r="C26" t="str">
            <v>6-24-24</v>
          </cell>
          <cell r="D26" t="str">
            <v>kg</v>
          </cell>
          <cell r="E26">
            <v>60</v>
          </cell>
          <cell r="F26">
            <v>0.33</v>
          </cell>
          <cell r="G26">
            <v>19.8</v>
          </cell>
          <cell r="H26">
            <v>19.8</v>
          </cell>
          <cell r="K26">
            <v>11.450130533131432</v>
          </cell>
        </row>
        <row r="27">
          <cell r="B27" t="str">
            <v>#2</v>
          </cell>
          <cell r="C27" t="str">
            <v xml:space="preserve"> Urea</v>
          </cell>
          <cell r="D27" t="str">
            <v>kg</v>
          </cell>
          <cell r="E27">
            <v>100</v>
          </cell>
          <cell r="F27">
            <v>0.37</v>
          </cell>
          <cell r="G27">
            <v>37</v>
          </cell>
          <cell r="H27">
            <v>37</v>
          </cell>
          <cell r="K27">
            <v>2.25</v>
          </cell>
        </row>
        <row r="28">
          <cell r="B28" t="str">
            <v>#3</v>
          </cell>
          <cell r="C28" t="str">
            <v xml:space="preserve"> </v>
          </cell>
          <cell r="D28" t="str">
            <v>kg</v>
          </cell>
          <cell r="E28">
            <v>0</v>
          </cell>
          <cell r="F28">
            <v>0</v>
          </cell>
          <cell r="G28">
            <v>0</v>
          </cell>
          <cell r="H28">
            <v>0</v>
          </cell>
          <cell r="K28">
            <v>45</v>
          </cell>
        </row>
        <row r="30">
          <cell r="D30" t="str">
            <v>Unit/Ac</v>
          </cell>
          <cell r="E30" t="str">
            <v>Number</v>
          </cell>
          <cell r="F30" t="str">
            <v>Cost/Unit</v>
          </cell>
          <cell r="G30" t="str">
            <v>$/Acre</v>
          </cell>
          <cell r="H30" t="str">
            <v>$/Year</v>
          </cell>
          <cell r="J30" t="str">
            <v>Grip prob factor (component of grip)</v>
          </cell>
          <cell r="K30">
            <v>2.3306800000000001</v>
          </cell>
        </row>
        <row r="31">
          <cell r="A31" t="str">
            <v xml:space="preserve"> Herbicide </v>
          </cell>
          <cell r="D31" t="str">
            <v>-------</v>
          </cell>
          <cell r="E31" t="str">
            <v xml:space="preserve">  ------</v>
          </cell>
          <cell r="F31" t="str">
            <v>-</v>
          </cell>
          <cell r="G31" t="str">
            <v xml:space="preserve">  -------</v>
          </cell>
          <cell r="H31" t="str">
            <v xml:space="preserve">  -------</v>
          </cell>
        </row>
        <row r="32">
          <cell r="A32" t="str">
            <v xml:space="preserve">   Annual Grasses</v>
          </cell>
          <cell r="D32" t="str">
            <v>kg or l</v>
          </cell>
          <cell r="E32">
            <v>1</v>
          </cell>
          <cell r="F32">
            <v>8</v>
          </cell>
          <cell r="G32">
            <v>8</v>
          </cell>
          <cell r="H32">
            <v>8</v>
          </cell>
          <cell r="J32" t="str">
            <v>C.I. prob factor (component of Crop Insurance)</v>
          </cell>
          <cell r="K32">
            <v>1.3592835999999999</v>
          </cell>
        </row>
        <row r="33">
          <cell r="A33" t="str">
            <v xml:space="preserve">   Broadleaf Herbicides</v>
          </cell>
          <cell r="D33" t="str">
            <v>kg or l</v>
          </cell>
          <cell r="E33">
            <v>0</v>
          </cell>
          <cell r="F33">
            <v>0</v>
          </cell>
          <cell r="G33">
            <v>0</v>
          </cell>
          <cell r="H33">
            <v>0</v>
          </cell>
          <cell r="K33">
            <v>6.05</v>
          </cell>
        </row>
        <row r="34">
          <cell r="A34" t="str">
            <v xml:space="preserve">   Other Herbicides</v>
          </cell>
          <cell r="D34" t="str">
            <v>kg or l</v>
          </cell>
          <cell r="E34">
            <v>0</v>
          </cell>
          <cell r="F34">
            <v>0</v>
          </cell>
          <cell r="G34">
            <v>0</v>
          </cell>
          <cell r="H34">
            <v>0</v>
          </cell>
          <cell r="K34">
            <v>6.0501305331314317</v>
          </cell>
        </row>
        <row r="35">
          <cell r="A35" t="str">
            <v xml:space="preserve"> Insecticides</v>
          </cell>
          <cell r="D35" t="str">
            <v>kg or l</v>
          </cell>
          <cell r="E35">
            <v>1</v>
          </cell>
          <cell r="F35">
            <v>10</v>
          </cell>
          <cell r="G35">
            <v>10</v>
          </cell>
          <cell r="H35">
            <v>10</v>
          </cell>
        </row>
        <row r="36">
          <cell r="A36" t="str">
            <v xml:space="preserve"> Fungicides</v>
          </cell>
          <cell r="D36" t="str">
            <v>kg or l</v>
          </cell>
          <cell r="E36">
            <v>0</v>
          </cell>
          <cell r="F36">
            <v>0</v>
          </cell>
          <cell r="G36">
            <v>0</v>
          </cell>
          <cell r="H36">
            <v>0</v>
          </cell>
        </row>
        <row r="37">
          <cell r="A37" t="str">
            <v xml:space="preserve"> Technology Use Agreement</v>
          </cell>
          <cell r="E37">
            <v>0</v>
          </cell>
          <cell r="F37">
            <v>15</v>
          </cell>
          <cell r="G37">
            <v>0</v>
          </cell>
          <cell r="H37">
            <v>0</v>
          </cell>
        </row>
        <row r="38">
          <cell r="A38" t="str">
            <v xml:space="preserve"> Crop Insurance</v>
          </cell>
          <cell r="D38" t="str">
            <v>Insurance</v>
          </cell>
          <cell r="E38">
            <v>1</v>
          </cell>
          <cell r="F38">
            <v>6.05</v>
          </cell>
          <cell r="G38">
            <v>6.05</v>
          </cell>
          <cell r="H38">
            <v>6.05</v>
          </cell>
        </row>
        <row r="39">
          <cell r="A39" t="str">
            <v xml:space="preserve"> Market Revenue Insurance</v>
          </cell>
          <cell r="D39" t="str">
            <v>Insurance</v>
          </cell>
          <cell r="E39">
            <v>1</v>
          </cell>
          <cell r="F39">
            <v>1.3053313143189418E-4</v>
          </cell>
          <cell r="G39">
            <v>1.3053313143189418E-4</v>
          </cell>
          <cell r="H39">
            <v>1.3053313143189418E-4</v>
          </cell>
        </row>
        <row r="40">
          <cell r="A40" t="str">
            <v>Custom Work   #1</v>
          </cell>
          <cell r="B40" t="str">
            <v>#1</v>
          </cell>
          <cell r="C40" t="str">
            <v>Combine\Swather</v>
          </cell>
          <cell r="E40">
            <v>1</v>
          </cell>
          <cell r="F40">
            <v>39</v>
          </cell>
          <cell r="G40">
            <v>39</v>
          </cell>
          <cell r="H40">
            <v>39</v>
          </cell>
        </row>
        <row r="41">
          <cell r="B41" t="str">
            <v>#2</v>
          </cell>
          <cell r="C41" t="str">
            <v>Fertilizer Spreader</v>
          </cell>
          <cell r="E41">
            <v>1</v>
          </cell>
          <cell r="F41">
            <v>6</v>
          </cell>
          <cell r="G41">
            <v>6</v>
          </cell>
          <cell r="H41">
            <v>6</v>
          </cell>
        </row>
        <row r="42">
          <cell r="A42" t="str">
            <v xml:space="preserve"> Drying </v>
          </cell>
          <cell r="D42" t="str">
            <v>tonnes</v>
          </cell>
          <cell r="E42">
            <v>0.9900000000000001</v>
          </cell>
          <cell r="F42">
            <v>0</v>
          </cell>
          <cell r="G42">
            <v>0</v>
          </cell>
          <cell r="H42">
            <v>0</v>
          </cell>
        </row>
        <row r="43">
          <cell r="A43" t="str">
            <v xml:space="preserve"> Storage</v>
          </cell>
          <cell r="D43" t="str">
            <v>tonnes</v>
          </cell>
          <cell r="E43">
            <v>0</v>
          </cell>
          <cell r="F43">
            <v>0</v>
          </cell>
          <cell r="G43">
            <v>0</v>
          </cell>
          <cell r="H43">
            <v>0</v>
          </cell>
        </row>
        <row r="44">
          <cell r="A44" t="str">
            <v xml:space="preserve"> Trucking</v>
          </cell>
          <cell r="D44" t="str">
            <v>tonnes</v>
          </cell>
          <cell r="E44">
            <v>0.9</v>
          </cell>
          <cell r="F44">
            <v>6</v>
          </cell>
          <cell r="G44">
            <v>5.4</v>
          </cell>
          <cell r="H44">
            <v>5.4</v>
          </cell>
        </row>
        <row r="45">
          <cell r="A45" t="str">
            <v xml:space="preserve"> Marketing Fees</v>
          </cell>
          <cell r="D45" t="str">
            <v>tonnes</v>
          </cell>
          <cell r="E45">
            <v>0.9</v>
          </cell>
          <cell r="F45">
            <v>2.5</v>
          </cell>
          <cell r="G45">
            <v>2.25</v>
          </cell>
          <cell r="H45">
            <v>2.25</v>
          </cell>
        </row>
        <row r="46">
          <cell r="A46" t="str">
            <v xml:space="preserve"> Other</v>
          </cell>
          <cell r="D46" t="str">
            <v xml:space="preserve"> </v>
          </cell>
          <cell r="E46">
            <v>0</v>
          </cell>
          <cell r="F46">
            <v>0</v>
          </cell>
          <cell r="G46">
            <v>0</v>
          </cell>
          <cell r="H46">
            <v>0</v>
          </cell>
        </row>
        <row r="49">
          <cell r="K49" t="str">
            <v>Wfarm!L4</v>
          </cell>
        </row>
        <row r="50">
          <cell r="K50" t="str">
            <v>Wfarm!L5</v>
          </cell>
        </row>
        <row r="51">
          <cell r="D51" t="str">
            <v>Typical</v>
          </cell>
          <cell r="E51" t="str">
            <v xml:space="preserve"> Enterprise</v>
          </cell>
          <cell r="K51" t="str">
            <v>Wfarm!L6</v>
          </cell>
        </row>
        <row r="52">
          <cell r="D52" t="str">
            <v xml:space="preserve"> $/Acre</v>
          </cell>
          <cell r="E52" t="str">
            <v xml:space="preserve"> $ Allocated</v>
          </cell>
          <cell r="G52" t="str">
            <v>$/Acre</v>
          </cell>
          <cell r="H52" t="str">
            <v>$/Year</v>
          </cell>
          <cell r="K52" t="str">
            <v>Wfarm!L7</v>
          </cell>
        </row>
        <row r="53">
          <cell r="A53" t="str">
            <v xml:space="preserve"> Fuel</v>
          </cell>
          <cell r="D53">
            <v>16.2</v>
          </cell>
          <cell r="E53">
            <v>0</v>
          </cell>
          <cell r="G53">
            <v>16.2</v>
          </cell>
          <cell r="H53">
            <v>16.2</v>
          </cell>
          <cell r="K53" t="str">
            <v>Wfarm!L8</v>
          </cell>
        </row>
        <row r="54">
          <cell r="A54" t="str">
            <v xml:space="preserve"> Mach. Repair &amp; Maint.</v>
          </cell>
          <cell r="D54">
            <v>16</v>
          </cell>
          <cell r="E54">
            <v>0</v>
          </cell>
          <cell r="G54">
            <v>16</v>
          </cell>
          <cell r="H54">
            <v>16</v>
          </cell>
        </row>
        <row r="55">
          <cell r="A55" t="str">
            <v xml:space="preserve"> Bldg. Repair &amp; Maint.</v>
          </cell>
          <cell r="D55">
            <v>6</v>
          </cell>
          <cell r="E55">
            <v>0</v>
          </cell>
          <cell r="G55">
            <v>6</v>
          </cell>
          <cell r="H55">
            <v>6</v>
          </cell>
        </row>
        <row r="56">
          <cell r="A56" t="str">
            <v xml:space="preserve"> Rent and Labour</v>
          </cell>
          <cell r="D56">
            <v>12</v>
          </cell>
          <cell r="E56">
            <v>0</v>
          </cell>
          <cell r="G56">
            <v>12</v>
          </cell>
          <cell r="H56">
            <v>12</v>
          </cell>
        </row>
        <row r="57">
          <cell r="A57" t="str">
            <v xml:space="preserve"> General Variable Costs</v>
          </cell>
          <cell r="D57">
            <v>15</v>
          </cell>
          <cell r="E57">
            <v>0</v>
          </cell>
          <cell r="G57">
            <v>15</v>
          </cell>
          <cell r="H57">
            <v>15</v>
          </cell>
          <cell r="J57">
            <v>8.2420052213252575</v>
          </cell>
          <cell r="K57" t="str">
            <v>Wfarm!L9</v>
          </cell>
        </row>
        <row r="58">
          <cell r="A58" t="str">
            <v xml:space="preserve"> Interest on</v>
          </cell>
          <cell r="C58" t="str">
            <v>%int</v>
          </cell>
          <cell r="D58" t="str">
            <v>%year</v>
          </cell>
        </row>
        <row r="59">
          <cell r="A59" t="str">
            <v xml:space="preserve"> Operating Capital</v>
          </cell>
          <cell r="C59">
            <v>8</v>
          </cell>
          <cell r="D59">
            <v>50</v>
          </cell>
          <cell r="E59">
            <v>0</v>
          </cell>
          <cell r="G59">
            <v>8.2420052213252575</v>
          </cell>
          <cell r="H59">
            <v>8.2420052213252575</v>
          </cell>
        </row>
        <row r="60">
          <cell r="G60" t="str">
            <v xml:space="preserve">  -------</v>
          </cell>
          <cell r="H60" t="str">
            <v xml:space="preserve">  -------</v>
          </cell>
        </row>
        <row r="61">
          <cell r="A61" t="str">
            <v>Total Variable Costs</v>
          </cell>
          <cell r="G61">
            <v>221.94213575445667</v>
          </cell>
          <cell r="H61">
            <v>221.94213575445667</v>
          </cell>
        </row>
        <row r="62">
          <cell r="D62" t="str">
            <v>Typical</v>
          </cell>
          <cell r="E62" t="str">
            <v xml:space="preserve"> Enterprise</v>
          </cell>
        </row>
        <row r="63">
          <cell r="A63" t="str">
            <v>Fixed Costs:</v>
          </cell>
          <cell r="D63" t="str">
            <v xml:space="preserve"> $/Acre</v>
          </cell>
          <cell r="E63" t="str">
            <v xml:space="preserve"> $ Allocated</v>
          </cell>
          <cell r="G63" t="str">
            <v>$/Acre</v>
          </cell>
          <cell r="H63" t="str">
            <v>$/Year</v>
          </cell>
          <cell r="K63" t="str">
            <v>Wfarm!K4</v>
          </cell>
        </row>
        <row r="64">
          <cell r="A64" t="str">
            <v xml:space="preserve"> Depreciation</v>
          </cell>
          <cell r="D64">
            <v>24</v>
          </cell>
          <cell r="E64">
            <v>0</v>
          </cell>
          <cell r="G64">
            <v>24</v>
          </cell>
          <cell r="H64">
            <v>24</v>
          </cell>
          <cell r="K64" t="str">
            <v>Wfarm!K5</v>
          </cell>
        </row>
        <row r="65">
          <cell r="A65" t="str">
            <v xml:space="preserve"> Interest on Term Loans</v>
          </cell>
          <cell r="D65">
            <v>14</v>
          </cell>
          <cell r="E65">
            <v>0</v>
          </cell>
          <cell r="G65">
            <v>14</v>
          </cell>
          <cell r="H65">
            <v>14</v>
          </cell>
          <cell r="K65" t="str">
            <v>Wfarm!K6</v>
          </cell>
        </row>
        <row r="66">
          <cell r="A66" t="str">
            <v xml:space="preserve"> Long-term Leases</v>
          </cell>
          <cell r="D66">
            <v>0</v>
          </cell>
          <cell r="E66">
            <v>0</v>
          </cell>
          <cell r="G66">
            <v>0</v>
          </cell>
          <cell r="H66">
            <v>0</v>
          </cell>
          <cell r="K66" t="str">
            <v>Wfarm!K7</v>
          </cell>
        </row>
        <row r="67">
          <cell r="A67" t="str">
            <v xml:space="preserve"> General Fixed Costs</v>
          </cell>
          <cell r="D67">
            <v>10</v>
          </cell>
          <cell r="E67">
            <v>0</v>
          </cell>
          <cell r="G67">
            <v>10</v>
          </cell>
          <cell r="H67">
            <v>10</v>
          </cell>
        </row>
        <row r="68">
          <cell r="G68" t="str">
            <v xml:space="preserve">  -------</v>
          </cell>
          <cell r="H68" t="str">
            <v xml:space="preserve">  -------</v>
          </cell>
        </row>
        <row r="69">
          <cell r="A69" t="str">
            <v>Total Fixed Costs</v>
          </cell>
          <cell r="G69">
            <v>48</v>
          </cell>
          <cell r="H69">
            <v>48</v>
          </cell>
        </row>
        <row r="71">
          <cell r="A71" t="str">
            <v>Revenues:</v>
          </cell>
          <cell r="E71" t="str">
            <v>$/Acre</v>
          </cell>
          <cell r="F71" t="str">
            <v>$/Year</v>
          </cell>
        </row>
        <row r="72">
          <cell r="A72" t="str">
            <v>Total Expected Revenues</v>
          </cell>
          <cell r="E72">
            <v>270</v>
          </cell>
          <cell r="F72">
            <v>270</v>
          </cell>
        </row>
        <row r="73">
          <cell r="A73" t="str">
            <v xml:space="preserve">    add: Expected Insurance Revenues</v>
          </cell>
          <cell r="E73">
            <v>2.6775556008018486</v>
          </cell>
          <cell r="F73">
            <v>2.6775556008018486</v>
          </cell>
        </row>
        <row r="74">
          <cell r="A74" t="str">
            <v xml:space="preserve">    less: Variable Costs</v>
          </cell>
          <cell r="E74">
            <v>221.94213575445667</v>
          </cell>
          <cell r="F74">
            <v>221.94213575445667</v>
          </cell>
        </row>
        <row r="75">
          <cell r="E75" t="str">
            <v xml:space="preserve">  -------</v>
          </cell>
          <cell r="F75" t="str">
            <v xml:space="preserve">  -------</v>
          </cell>
        </row>
        <row r="76">
          <cell r="A76" t="str">
            <v>Expected Operating Margin</v>
          </cell>
          <cell r="E76">
            <v>50.735419846345167</v>
          </cell>
          <cell r="F76">
            <v>50.735419846345167</v>
          </cell>
        </row>
        <row r="77">
          <cell r="A77" t="str">
            <v xml:space="preserve">    less: Fixed Costs</v>
          </cell>
          <cell r="E77">
            <v>48</v>
          </cell>
          <cell r="F77">
            <v>48</v>
          </cell>
        </row>
        <row r="78">
          <cell r="E78" t="str">
            <v xml:space="preserve">  -------</v>
          </cell>
          <cell r="F78" t="str">
            <v xml:space="preserve">  -------</v>
          </cell>
        </row>
        <row r="79">
          <cell r="A79" t="str">
            <v>Expected Net Revenue</v>
          </cell>
          <cell r="E79">
            <v>2.7354198463451667</v>
          </cell>
          <cell r="F79">
            <v>2.7354198463451667</v>
          </cell>
        </row>
        <row r="81">
          <cell r="A81" t="str">
            <v xml:space="preserve">   Break-even Price/tonne to cover:</v>
          </cell>
          <cell r="E81" t="str">
            <v>Variable Costs</v>
          </cell>
          <cell r="G81">
            <v>246.6023730605074</v>
          </cell>
        </row>
        <row r="82">
          <cell r="E82" t="str">
            <v>Fixed Costs</v>
          </cell>
          <cell r="G82">
            <v>53.333333333333329</v>
          </cell>
        </row>
        <row r="83">
          <cell r="G83" t="str">
            <v xml:space="preserve">  -------</v>
          </cell>
        </row>
        <row r="84">
          <cell r="E84" t="str">
            <v>Total Costs</v>
          </cell>
          <cell r="G84">
            <v>299.93570639384075</v>
          </cell>
        </row>
        <row r="86">
          <cell r="B86" t="str">
            <v>Chance of at least breaking even          ==&gt;</v>
          </cell>
          <cell r="G86">
            <v>0.5107596309341853</v>
          </cell>
        </row>
        <row r="87">
          <cell r="B87" t="str">
            <v>Chance of at least</v>
          </cell>
          <cell r="D87">
            <v>0</v>
          </cell>
          <cell r="E87" t="str">
            <v>$/acre return  ==&gt;</v>
          </cell>
          <cell r="G87">
            <v>0.5107596309341853</v>
          </cell>
        </row>
        <row r="88">
          <cell r="B88" t="str">
            <v>Coefficient of variation                  ==&gt;</v>
          </cell>
          <cell r="G88">
            <v>0.37559712722907157</v>
          </cell>
        </row>
        <row r="89">
          <cell r="H89" t="str">
            <v>mn</v>
          </cell>
          <cell r="I89">
            <v>2.7354198463451667</v>
          </cell>
        </row>
        <row r="90">
          <cell r="C90" t="str">
            <v>Returns $/acre</v>
          </cell>
          <cell r="E90" t="str">
            <v>Chances of at least</v>
          </cell>
          <cell r="H90" t="str">
            <v>ystd</v>
          </cell>
          <cell r="I90">
            <v>8.5784250000000062E-2</v>
          </cell>
        </row>
        <row r="91">
          <cell r="E91" t="str">
            <v>this return per acre</v>
          </cell>
          <cell r="H91" t="str">
            <v>pstd</v>
          </cell>
          <cell r="I91">
            <v>108.49875</v>
          </cell>
        </row>
        <row r="92">
          <cell r="H92" t="str">
            <v>nrstd</v>
          </cell>
          <cell r="I92">
            <v>101.41122435184933</v>
          </cell>
        </row>
        <row r="93">
          <cell r="C93">
            <v>101.10430746763902</v>
          </cell>
          <cell r="E93" t="str">
            <v xml:space="preserve">       17 %</v>
          </cell>
        </row>
        <row r="94">
          <cell r="C94">
            <v>46.342246317640374</v>
          </cell>
          <cell r="E94" t="str">
            <v xml:space="preserve">       33 %</v>
          </cell>
          <cell r="H94" t="str">
            <v>z</v>
          </cell>
          <cell r="I94">
            <v>2.6973541280347273E-2</v>
          </cell>
          <cell r="J94">
            <v>2.6973541280347273E-2</v>
          </cell>
        </row>
        <row r="95">
          <cell r="C95">
            <v>2.7354198463451667</v>
          </cell>
          <cell r="E95" t="str">
            <v xml:space="preserve">       50 %</v>
          </cell>
          <cell r="H95" t="str">
            <v>v1</v>
          </cell>
          <cell r="I95">
            <v>0.99379059526535873</v>
          </cell>
          <cell r="J95">
            <v>0.99379059526535873</v>
          </cell>
        </row>
        <row r="96">
          <cell r="C96">
            <v>-40.871406624950041</v>
          </cell>
          <cell r="E96" t="str">
            <v xml:space="preserve">       67 %</v>
          </cell>
          <cell r="H96" t="str">
            <v>v2</v>
          </cell>
          <cell r="I96">
            <v>0.39879717779234158</v>
          </cell>
          <cell r="J96">
            <v>0.39879717779234158</v>
          </cell>
        </row>
        <row r="97">
          <cell r="C97">
            <v>-95.633467774948684</v>
          </cell>
          <cell r="E97" t="str">
            <v xml:space="preserve">       83 %</v>
          </cell>
          <cell r="H97" t="str">
            <v>p(vx)</v>
          </cell>
          <cell r="I97">
            <v>0.48924036906581464</v>
          </cell>
          <cell r="J97">
            <v>0.48924036906581464</v>
          </cell>
        </row>
        <row r="98">
          <cell r="H98" t="str">
            <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ORTK"/>
    </sheetNames>
    <sheetDataSet>
      <sheetData sheetId="0">
        <row r="1">
          <cell r="A1" t="str">
            <v>Shortk 1</v>
          </cell>
          <cell r="C1" t="str">
            <v>BEEF FEEDLOT BUDGET FOR SHORTKEEPS</v>
          </cell>
          <cell r="G1" t="str">
            <v>Revised: Oct '99</v>
          </cell>
        </row>
        <row r="2">
          <cell r="A2">
            <v>103</v>
          </cell>
          <cell r="F2" t="str">
            <v>Profit Per Head:</v>
          </cell>
          <cell r="H2">
            <v>-236.7811388422723</v>
          </cell>
        </row>
        <row r="4">
          <cell r="A4" t="str">
            <v xml:space="preserve">This budget is designed for shortkeep cattle which are continuously </v>
          </cell>
        </row>
        <row r="5">
          <cell r="A5" t="str">
            <v>turned over in a lot maintained close to capacity year round.</v>
          </cell>
        </row>
        <row r="6">
          <cell r="A6" t="str">
            <v>Barn Capacity</v>
          </cell>
          <cell r="D6">
            <v>200</v>
          </cell>
          <cell r="E6" t="str">
            <v>head</v>
          </cell>
        </row>
        <row r="7">
          <cell r="A7" t="str">
            <v>On average barn is kept at</v>
          </cell>
          <cell r="D7">
            <v>95</v>
          </cell>
          <cell r="E7" t="str">
            <v>% of capacity</v>
          </cell>
        </row>
        <row r="8">
          <cell r="A8" t="str">
            <v>Weight of Purchased Cattle</v>
          </cell>
          <cell r="D8">
            <v>950</v>
          </cell>
          <cell r="E8" t="str">
            <v>lbs</v>
          </cell>
        </row>
        <row r="9">
          <cell r="A9" t="str">
            <v>Finished Weight</v>
          </cell>
          <cell r="D9">
            <v>1250</v>
          </cell>
          <cell r="E9" t="str">
            <v>lbs</v>
          </cell>
        </row>
        <row r="11">
          <cell r="E11" t="str">
            <v>Opt.</v>
          </cell>
          <cell r="F11" t="str">
            <v xml:space="preserve"> Expected</v>
          </cell>
          <cell r="G11" t="str">
            <v xml:space="preserve">   Pess.</v>
          </cell>
        </row>
        <row r="12">
          <cell r="A12" t="str">
            <v>Feeder Cattle  -</v>
          </cell>
          <cell r="C12" t="str">
            <v>cents/lb</v>
          </cell>
          <cell r="E12">
            <v>107</v>
          </cell>
          <cell r="F12">
            <v>110</v>
          </cell>
          <cell r="G12">
            <v>113</v>
          </cell>
        </row>
        <row r="13">
          <cell r="A13" t="str">
            <v>Slaughter Cattle -</v>
          </cell>
          <cell r="C13" t="str">
            <v xml:space="preserve"> cents/lb</v>
          </cell>
          <cell r="E13">
            <v>106</v>
          </cell>
          <cell r="F13">
            <v>93</v>
          </cell>
          <cell r="G13">
            <v>90</v>
          </cell>
        </row>
        <row r="14">
          <cell r="A14" t="str">
            <v>Death Loss  -</v>
          </cell>
          <cell r="C14" t="str">
            <v>%</v>
          </cell>
          <cell r="E14">
            <v>0.3</v>
          </cell>
          <cell r="F14">
            <v>0.5</v>
          </cell>
          <cell r="G14">
            <v>1</v>
          </cell>
          <cell r="I14">
            <v>0.995</v>
          </cell>
          <cell r="K14">
            <v>0</v>
          </cell>
        </row>
        <row r="15">
          <cell r="A15" t="str">
            <v>Avg Daily Gain over Year - lbs</v>
          </cell>
          <cell r="E15">
            <v>3.25</v>
          </cell>
          <cell r="F15">
            <v>3</v>
          </cell>
          <cell r="G15">
            <v>2.5</v>
          </cell>
          <cell r="K15">
            <v>938041.02603711584</v>
          </cell>
        </row>
        <row r="16">
          <cell r="A16" t="str">
            <v>Days in Lot  -</v>
          </cell>
          <cell r="C16" t="str">
            <v>days</v>
          </cell>
          <cell r="E16">
            <v>92.307692307692307</v>
          </cell>
          <cell r="F16">
            <v>100</v>
          </cell>
          <cell r="G16">
            <v>120</v>
          </cell>
          <cell r="K16">
            <v>28329.474999999999</v>
          </cell>
        </row>
        <row r="17">
          <cell r="K17">
            <v>802162.78125</v>
          </cell>
        </row>
        <row r="18">
          <cell r="A18" t="str">
            <v>Expected Yearly Cattle Purchases</v>
          </cell>
          <cell r="E18">
            <v>693.5</v>
          </cell>
          <cell r="F18" t="str">
            <v>head</v>
          </cell>
          <cell r="I18">
            <v>690.03250000000003</v>
          </cell>
          <cell r="K18">
            <v>123647.30036711076</v>
          </cell>
        </row>
        <row r="19">
          <cell r="A19" t="str">
            <v>Revenue from Sales</v>
          </cell>
          <cell r="D19" t="str">
            <v>$</v>
          </cell>
          <cell r="E19">
            <v>802162.78125</v>
          </cell>
        </row>
        <row r="20">
          <cell r="K20" t="str">
            <v>Tran!D3..G14</v>
          </cell>
        </row>
        <row r="21">
          <cell r="A21" t="str">
            <v>EXPENSES</v>
          </cell>
          <cell r="E21" t="str">
            <v>lbs/day</v>
          </cell>
          <cell r="F21" t="str">
            <v>Tot. Feed</v>
          </cell>
          <cell r="K21" t="str">
            <v>Allo!C3..J14</v>
          </cell>
        </row>
        <row r="22">
          <cell r="A22" t="str">
            <v xml:space="preserve"> Variable Costs:</v>
          </cell>
          <cell r="D22" t="str">
            <v>$/Tonne</v>
          </cell>
          <cell r="E22" t="str">
            <v>per Hd</v>
          </cell>
          <cell r="F22" t="str">
            <v>per Hd</v>
          </cell>
          <cell r="G22" t="str">
            <v>$/Head</v>
          </cell>
          <cell r="H22" t="str">
            <v>$/Year</v>
          </cell>
          <cell r="K22">
            <v>693.5</v>
          </cell>
        </row>
        <row r="23">
          <cell r="A23" t="str">
            <v>Purchased Feed:</v>
          </cell>
          <cell r="D23" t="str">
            <v xml:space="preserve"> -------</v>
          </cell>
          <cell r="E23" t="str">
            <v xml:space="preserve"> -------</v>
          </cell>
          <cell r="F23" t="str">
            <v>-</v>
          </cell>
          <cell r="G23" t="str">
            <v xml:space="preserve">  -------</v>
          </cell>
          <cell r="H23" t="str">
            <v xml:space="preserve">  -------</v>
          </cell>
          <cell r="K23">
            <v>724707.5</v>
          </cell>
        </row>
        <row r="24">
          <cell r="A24" t="str">
            <v xml:space="preserve">  Corn Silage</v>
          </cell>
          <cell r="D24">
            <v>30</v>
          </cell>
          <cell r="E24">
            <v>31</v>
          </cell>
          <cell r="F24">
            <v>3100</v>
          </cell>
          <cell r="G24">
            <v>42.176870748299322</v>
          </cell>
          <cell r="H24">
            <v>29249.659863945581</v>
          </cell>
          <cell r="K24">
            <v>129594.86394557822</v>
          </cell>
        </row>
        <row r="25">
          <cell r="A25" t="str">
            <v xml:space="preserve">  Haylage</v>
          </cell>
          <cell r="D25">
            <v>40</v>
          </cell>
          <cell r="E25">
            <v>0</v>
          </cell>
          <cell r="F25">
            <v>0</v>
          </cell>
          <cell r="G25">
            <v>0</v>
          </cell>
          <cell r="H25">
            <v>0</v>
          </cell>
          <cell r="K25">
            <v>6518.2082294264337</v>
          </cell>
        </row>
        <row r="26">
          <cell r="A26" t="str">
            <v xml:space="preserve">  Hay</v>
          </cell>
          <cell r="D26">
            <v>60</v>
          </cell>
          <cell r="E26">
            <v>1.3</v>
          </cell>
          <cell r="F26">
            <v>130</v>
          </cell>
          <cell r="G26">
            <v>3.5374149659863945</v>
          </cell>
          <cell r="H26">
            <v>2453.1972789115644</v>
          </cell>
          <cell r="K26">
            <v>16125.172069825436</v>
          </cell>
        </row>
        <row r="27">
          <cell r="A27" t="str">
            <v xml:space="preserve">  Corn</v>
          </cell>
          <cell r="D27">
            <v>150</v>
          </cell>
          <cell r="E27">
            <v>16.5</v>
          </cell>
          <cell r="F27">
            <v>1650</v>
          </cell>
          <cell r="G27">
            <v>112.24489795918367</v>
          </cell>
          <cell r="H27">
            <v>77841.836734693876</v>
          </cell>
          <cell r="K27">
            <v>19418</v>
          </cell>
        </row>
        <row r="28">
          <cell r="A28" t="str">
            <v xml:space="preserve">  Barley</v>
          </cell>
          <cell r="D28">
            <v>135</v>
          </cell>
          <cell r="E28">
            <v>0</v>
          </cell>
          <cell r="F28">
            <v>0</v>
          </cell>
          <cell r="G28">
            <v>0</v>
          </cell>
          <cell r="H28">
            <v>0</v>
          </cell>
          <cell r="K28">
            <v>2355.4788029925189</v>
          </cell>
        </row>
        <row r="29">
          <cell r="A29" t="str">
            <v xml:space="preserve">  Other</v>
          </cell>
          <cell r="D29">
            <v>0</v>
          </cell>
          <cell r="E29">
            <v>0</v>
          </cell>
          <cell r="F29">
            <v>0</v>
          </cell>
          <cell r="G29">
            <v>0</v>
          </cell>
          <cell r="H29">
            <v>0</v>
          </cell>
        </row>
        <row r="30">
          <cell r="A30" t="str">
            <v xml:space="preserve">  Supplement</v>
          </cell>
          <cell r="D30">
            <v>425</v>
          </cell>
          <cell r="E30">
            <v>1.5</v>
          </cell>
          <cell r="F30">
            <v>150</v>
          </cell>
          <cell r="G30">
            <v>28.911564625850339</v>
          </cell>
          <cell r="H30">
            <v>20050.170068027212</v>
          </cell>
        </row>
        <row r="32">
          <cell r="A32" t="str">
            <v>Homegrown Feed: (from transfer table)</v>
          </cell>
        </row>
        <row r="33">
          <cell r="A33" t="str">
            <v xml:space="preserve"> Crop Transfers (based on </v>
          </cell>
          <cell r="D33">
            <v>345</v>
          </cell>
          <cell r="E33" t="str">
            <v>head)</v>
          </cell>
          <cell r="G33">
            <v>0</v>
          </cell>
          <cell r="H33">
            <v>0</v>
          </cell>
        </row>
        <row r="34">
          <cell r="B34" t="str">
            <v>*** (Input ONLY if NOT using Crop Transfer table) ***</v>
          </cell>
        </row>
        <row r="35">
          <cell r="A35" t="str">
            <v xml:space="preserve"> Forage#1</v>
          </cell>
          <cell r="B35" t="str">
            <v xml:space="preserve"> </v>
          </cell>
          <cell r="D35">
            <v>0</v>
          </cell>
          <cell r="E35">
            <v>0</v>
          </cell>
          <cell r="F35">
            <v>0</v>
          </cell>
          <cell r="G35">
            <v>0</v>
          </cell>
          <cell r="H35">
            <v>0</v>
          </cell>
        </row>
        <row r="36">
          <cell r="A36" t="str">
            <v xml:space="preserve">       #2</v>
          </cell>
          <cell r="B36" t="str">
            <v xml:space="preserve"> </v>
          </cell>
          <cell r="D36">
            <v>0</v>
          </cell>
          <cell r="E36">
            <v>0</v>
          </cell>
          <cell r="F36">
            <v>0</v>
          </cell>
          <cell r="G36">
            <v>0</v>
          </cell>
          <cell r="H36">
            <v>0</v>
          </cell>
        </row>
        <row r="37">
          <cell r="A37" t="str">
            <v xml:space="preserve"> Grain #1</v>
          </cell>
          <cell r="B37" t="str">
            <v xml:space="preserve"> </v>
          </cell>
          <cell r="D37">
            <v>0</v>
          </cell>
          <cell r="E37">
            <v>0</v>
          </cell>
          <cell r="F37">
            <v>0</v>
          </cell>
          <cell r="G37">
            <v>0</v>
          </cell>
          <cell r="H37">
            <v>0</v>
          </cell>
        </row>
        <row r="38">
          <cell r="A38" t="str">
            <v xml:space="preserve">       #2</v>
          </cell>
          <cell r="B38" t="str">
            <v xml:space="preserve"> </v>
          </cell>
          <cell r="D38">
            <v>0</v>
          </cell>
          <cell r="E38">
            <v>0</v>
          </cell>
          <cell r="F38">
            <v>0</v>
          </cell>
          <cell r="G38">
            <v>0</v>
          </cell>
          <cell r="H38">
            <v>0</v>
          </cell>
        </row>
        <row r="39">
          <cell r="A39" t="str">
            <v xml:space="preserve">       #3</v>
          </cell>
          <cell r="B39" t="str">
            <v xml:space="preserve"> </v>
          </cell>
          <cell r="D39">
            <v>0</v>
          </cell>
          <cell r="E39">
            <v>0</v>
          </cell>
          <cell r="F39">
            <v>0</v>
          </cell>
          <cell r="G39">
            <v>0</v>
          </cell>
          <cell r="H39">
            <v>0</v>
          </cell>
        </row>
        <row r="40">
          <cell r="A40" t="str">
            <v>-</v>
          </cell>
          <cell r="B40" t="str">
            <v>-</v>
          </cell>
          <cell r="G40" t="str">
            <v xml:space="preserve">  -------</v>
          </cell>
          <cell r="H40" t="str">
            <v xml:space="preserve">  -------</v>
          </cell>
        </row>
        <row r="41">
          <cell r="A41" t="str">
            <v>Total Feed Cost</v>
          </cell>
          <cell r="G41">
            <v>186.87074829931973</v>
          </cell>
          <cell r="H41">
            <v>129594.86394557822</v>
          </cell>
        </row>
        <row r="43">
          <cell r="A43" t="str">
            <v>Number of Head to Base Following Variable Costs on ==&gt; **</v>
          </cell>
          <cell r="H43">
            <v>401</v>
          </cell>
        </row>
        <row r="44">
          <cell r="A44" t="str">
            <v>**(Enter the herd size used to determine the variable costs.)</v>
          </cell>
        </row>
        <row r="51">
          <cell r="E51" t="str">
            <v>Typical</v>
          </cell>
          <cell r="F51" t="str">
            <v>$/Year</v>
          </cell>
          <cell r="H51" t="str">
            <v>$/Year</v>
          </cell>
        </row>
        <row r="52">
          <cell r="E52" t="str">
            <v xml:space="preserve">  $/Head</v>
          </cell>
          <cell r="F52" t="str">
            <v>401 Head</v>
          </cell>
          <cell r="G52" t="str">
            <v>$/Head</v>
          </cell>
          <cell r="H52" t="str">
            <v xml:space="preserve"> 694 Head</v>
          </cell>
        </row>
        <row r="53">
          <cell r="E53" t="str">
            <v xml:space="preserve"> -------</v>
          </cell>
          <cell r="F53" t="str">
            <v>---------</v>
          </cell>
          <cell r="G53" t="str">
            <v xml:space="preserve">  -------</v>
          </cell>
          <cell r="H53" t="str">
            <v xml:space="preserve">  -------</v>
          </cell>
        </row>
        <row r="54">
          <cell r="A54" t="str">
            <v xml:space="preserve"> Expected Cattle Purchases</v>
          </cell>
          <cell r="G54">
            <v>1045</v>
          </cell>
          <cell r="H54">
            <v>724707.5</v>
          </cell>
        </row>
        <row r="55">
          <cell r="A55" t="str">
            <v xml:space="preserve"> Hired Labour</v>
          </cell>
          <cell r="E55">
            <v>1.5</v>
          </cell>
          <cell r="F55">
            <v>602</v>
          </cell>
          <cell r="G55">
            <v>1.5012468827930174</v>
          </cell>
          <cell r="H55">
            <v>1041.1147132169576</v>
          </cell>
        </row>
        <row r="56">
          <cell r="A56" t="str">
            <v xml:space="preserve"> Vet, Medicine, Implants </v>
          </cell>
          <cell r="E56">
            <v>9.4</v>
          </cell>
          <cell r="F56">
            <v>3769</v>
          </cell>
          <cell r="G56">
            <v>9.3990024937655861</v>
          </cell>
          <cell r="H56">
            <v>6518.2082294264337</v>
          </cell>
        </row>
        <row r="57">
          <cell r="A57" t="str">
            <v xml:space="preserve"> Insurance </v>
          </cell>
          <cell r="E57">
            <v>4.76</v>
          </cell>
          <cell r="F57">
            <v>1905</v>
          </cell>
          <cell r="G57">
            <v>4.7506234413965087</v>
          </cell>
          <cell r="H57">
            <v>3294.5573566084786</v>
          </cell>
        </row>
        <row r="59">
          <cell r="E59" t="str">
            <v>Typical</v>
          </cell>
          <cell r="F59" t="str">
            <v>$/Year</v>
          </cell>
          <cell r="H59" t="str">
            <v>$/Year</v>
          </cell>
        </row>
        <row r="60">
          <cell r="E60" t="str">
            <v xml:space="preserve">  $/Head</v>
          </cell>
          <cell r="F60" t="str">
            <v>401 Head</v>
          </cell>
          <cell r="G60" t="str">
            <v>$/Head</v>
          </cell>
          <cell r="H60" t="str">
            <v xml:space="preserve"> 694 Head</v>
          </cell>
        </row>
        <row r="61">
          <cell r="E61" t="str">
            <v xml:space="preserve"> -------</v>
          </cell>
          <cell r="F61" t="str">
            <v>---------</v>
          </cell>
          <cell r="G61" t="str">
            <v xml:space="preserve">  -------</v>
          </cell>
          <cell r="H61" t="str">
            <v xml:space="preserve">  -------</v>
          </cell>
        </row>
        <row r="62">
          <cell r="A62" t="str">
            <v xml:space="preserve"> Custom Work</v>
          </cell>
          <cell r="E62">
            <v>3.4</v>
          </cell>
          <cell r="F62">
            <v>1362</v>
          </cell>
          <cell r="G62">
            <v>3.3965087281795512</v>
          </cell>
          <cell r="H62">
            <v>2355.4788029925189</v>
          </cell>
        </row>
        <row r="63">
          <cell r="A63" t="str">
            <v xml:space="preserve"> Equipment Rental</v>
          </cell>
          <cell r="E63">
            <v>0</v>
          </cell>
          <cell r="F63">
            <v>0</v>
          </cell>
          <cell r="G63">
            <v>0</v>
          </cell>
          <cell r="H63">
            <v>0</v>
          </cell>
        </row>
        <row r="64">
          <cell r="A64" t="str">
            <v xml:space="preserve"> Other</v>
          </cell>
          <cell r="E64">
            <v>6</v>
          </cell>
          <cell r="F64">
            <v>2406</v>
          </cell>
          <cell r="G64">
            <v>6</v>
          </cell>
          <cell r="H64">
            <v>4161</v>
          </cell>
        </row>
        <row r="65">
          <cell r="A65" t="str">
            <v xml:space="preserve"> Marketing Fees</v>
          </cell>
          <cell r="G65">
            <v>13</v>
          </cell>
          <cell r="H65">
            <v>9015.5</v>
          </cell>
        </row>
        <row r="66">
          <cell r="A66" t="str">
            <v xml:space="preserve"> Trucking</v>
          </cell>
          <cell r="G66">
            <v>15</v>
          </cell>
          <cell r="H66">
            <v>10402.5</v>
          </cell>
        </row>
        <row r="67">
          <cell r="D67" t="str">
            <v>/hd/day</v>
          </cell>
          <cell r="E67" t="str">
            <v>$/bale</v>
          </cell>
        </row>
        <row r="68">
          <cell r="A68" t="str">
            <v xml:space="preserve"> Bedding</v>
          </cell>
          <cell r="C68" t="str">
            <v>(bales)</v>
          </cell>
          <cell r="D68">
            <v>0.1</v>
          </cell>
          <cell r="E68">
            <v>1.1000000000000001</v>
          </cell>
          <cell r="G68">
            <v>11.000000000000002</v>
          </cell>
          <cell r="H68">
            <v>7628.5000000000009</v>
          </cell>
        </row>
        <row r="71">
          <cell r="D71" t="str">
            <v>Typical</v>
          </cell>
          <cell r="E71" t="str">
            <v xml:space="preserve"> Enterprise</v>
          </cell>
          <cell r="H71" t="str">
            <v>$/Year</v>
          </cell>
          <cell r="K71" t="str">
            <v>Wfarm!L4</v>
          </cell>
        </row>
        <row r="72">
          <cell r="D72" t="str">
            <v xml:space="preserve">  $/Head</v>
          </cell>
          <cell r="E72" t="str">
            <v xml:space="preserve"> $ Allocated</v>
          </cell>
          <cell r="G72" t="str">
            <v>$/Head</v>
          </cell>
          <cell r="H72" t="str">
            <v xml:space="preserve"> 694 Head</v>
          </cell>
          <cell r="K72" t="str">
            <v>Wfarm!L5</v>
          </cell>
        </row>
        <row r="73">
          <cell r="A73" t="str">
            <v xml:space="preserve"> Fuel</v>
          </cell>
          <cell r="D73">
            <v>4.25</v>
          </cell>
          <cell r="E73">
            <v>0</v>
          </cell>
          <cell r="G73">
            <v>4.25</v>
          </cell>
          <cell r="H73">
            <v>2947.375</v>
          </cell>
          <cell r="K73" t="str">
            <v>Wfarm!L6</v>
          </cell>
        </row>
        <row r="74">
          <cell r="A74" t="str">
            <v xml:space="preserve"> Mach. Repair &amp; Maint.</v>
          </cell>
          <cell r="D74">
            <v>5.87</v>
          </cell>
          <cell r="E74">
            <v>0</v>
          </cell>
          <cell r="G74">
            <v>5.87</v>
          </cell>
          <cell r="H74">
            <v>4070.8450000000003</v>
          </cell>
          <cell r="K74" t="str">
            <v>Wfarm!L7</v>
          </cell>
        </row>
        <row r="75">
          <cell r="A75" t="str">
            <v xml:space="preserve"> Bldg. Repair &amp; Maint.</v>
          </cell>
          <cell r="D75">
            <v>3.64</v>
          </cell>
          <cell r="E75">
            <v>0</v>
          </cell>
          <cell r="G75">
            <v>3.64</v>
          </cell>
          <cell r="H75">
            <v>2524.34</v>
          </cell>
          <cell r="K75" t="str">
            <v>Wfarm!L8</v>
          </cell>
        </row>
        <row r="76">
          <cell r="A76" t="str">
            <v xml:space="preserve"> Rent and Labour</v>
          </cell>
          <cell r="D76">
            <v>6.7</v>
          </cell>
          <cell r="E76">
            <v>0</v>
          </cell>
          <cell r="G76">
            <v>6.7</v>
          </cell>
          <cell r="H76">
            <v>4646.45</v>
          </cell>
        </row>
        <row r="77">
          <cell r="A77" t="str">
            <v xml:space="preserve"> General Variable Costs</v>
          </cell>
          <cell r="D77">
            <v>4.88</v>
          </cell>
          <cell r="E77">
            <v>0</v>
          </cell>
          <cell r="G77">
            <v>4.88</v>
          </cell>
          <cell r="H77">
            <v>3384.2799999999997</v>
          </cell>
        </row>
        <row r="78">
          <cell r="J78">
            <v>21347.512989293347</v>
          </cell>
          <cell r="K78" t="str">
            <v>Wfarm!L9</v>
          </cell>
        </row>
        <row r="79">
          <cell r="A79" t="str">
            <v xml:space="preserve"> Interest on</v>
          </cell>
          <cell r="D79" t="str">
            <v>%int</v>
          </cell>
        </row>
        <row r="80">
          <cell r="A80" t="str">
            <v xml:space="preserve"> Operating Capital</v>
          </cell>
          <cell r="D80">
            <v>7.5</v>
          </cell>
          <cell r="E80">
            <v>0</v>
          </cell>
          <cell r="G80">
            <v>30.782282608930565</v>
          </cell>
          <cell r="H80">
            <v>21347.512989293347</v>
          </cell>
        </row>
        <row r="81">
          <cell r="G81" t="str">
            <v xml:space="preserve">  -------</v>
          </cell>
          <cell r="H81" t="str">
            <v xml:space="preserve">  -------</v>
          </cell>
        </row>
        <row r="82">
          <cell r="A82" t="str">
            <v>Total Variable Costs</v>
          </cell>
          <cell r="G82">
            <v>1352.6186388422723</v>
          </cell>
          <cell r="H82">
            <v>938041.02603711584</v>
          </cell>
        </row>
        <row r="85">
          <cell r="D85" t="str">
            <v>Typical</v>
          </cell>
          <cell r="E85" t="str">
            <v xml:space="preserve"> Enterprise</v>
          </cell>
          <cell r="H85" t="str">
            <v>$/Year</v>
          </cell>
          <cell r="K85" t="str">
            <v>Wfarm!K4</v>
          </cell>
        </row>
        <row r="86">
          <cell r="A86" t="str">
            <v>Fixed Costs:</v>
          </cell>
          <cell r="D86" t="str">
            <v xml:space="preserve"> $/Head</v>
          </cell>
          <cell r="E86" t="str">
            <v xml:space="preserve"> $ Allocated</v>
          </cell>
          <cell r="G86" t="str">
            <v>$/Head</v>
          </cell>
          <cell r="H86" t="str">
            <v xml:space="preserve"> 694 Head</v>
          </cell>
          <cell r="K86" t="str">
            <v>Wfarm!K5</v>
          </cell>
        </row>
        <row r="87">
          <cell r="A87" t="str">
            <v xml:space="preserve"> Depreciation</v>
          </cell>
          <cell r="D87">
            <v>25.66</v>
          </cell>
          <cell r="E87">
            <v>0</v>
          </cell>
          <cell r="G87">
            <v>25.66</v>
          </cell>
          <cell r="H87">
            <v>17795.21</v>
          </cell>
          <cell r="K87" t="str">
            <v>Wfarm!K6</v>
          </cell>
        </row>
        <row r="88">
          <cell r="A88" t="str">
            <v xml:space="preserve"> Interest on Term Loans</v>
          </cell>
          <cell r="D88">
            <v>9.59</v>
          </cell>
          <cell r="E88">
            <v>0</v>
          </cell>
          <cell r="G88">
            <v>9.59</v>
          </cell>
          <cell r="H88">
            <v>6650.665</v>
          </cell>
          <cell r="K88" t="str">
            <v>Wfarm!K7</v>
          </cell>
        </row>
        <row r="89">
          <cell r="A89" t="str">
            <v xml:space="preserve"> Long-term Leases</v>
          </cell>
          <cell r="D89">
            <v>0</v>
          </cell>
          <cell r="E89">
            <v>0</v>
          </cell>
          <cell r="G89">
            <v>0</v>
          </cell>
          <cell r="H89">
            <v>0</v>
          </cell>
        </row>
        <row r="90">
          <cell r="A90" t="str">
            <v xml:space="preserve"> General Fixed Costs</v>
          </cell>
          <cell r="D90">
            <v>5.6</v>
          </cell>
          <cell r="E90">
            <v>0</v>
          </cell>
          <cell r="G90">
            <v>5.6</v>
          </cell>
          <cell r="H90">
            <v>3883.6</v>
          </cell>
        </row>
        <row r="91">
          <cell r="G91" t="str">
            <v xml:space="preserve">  -------</v>
          </cell>
          <cell r="H91" t="str">
            <v xml:space="preserve">  -------</v>
          </cell>
        </row>
        <row r="92">
          <cell r="A92" t="str">
            <v>Total Fixed Costs</v>
          </cell>
          <cell r="G92">
            <v>40.85</v>
          </cell>
          <cell r="H92">
            <v>28329.474999999999</v>
          </cell>
        </row>
        <row r="101">
          <cell r="A101" t="str">
            <v>Revenues:</v>
          </cell>
          <cell r="E101" t="str">
            <v>$/Head</v>
          </cell>
          <cell r="F101" t="str">
            <v>$/Year</v>
          </cell>
        </row>
        <row r="102">
          <cell r="A102" t="str">
            <v>Total Expected Revenues</v>
          </cell>
          <cell r="E102">
            <v>1156.6875</v>
          </cell>
          <cell r="F102">
            <v>802162.78125</v>
          </cell>
        </row>
        <row r="103">
          <cell r="A103" t="str">
            <v xml:space="preserve">    less: Variable Costs</v>
          </cell>
          <cell r="E103">
            <v>1352.6186388422723</v>
          </cell>
          <cell r="F103">
            <v>938041.02603711584</v>
          </cell>
        </row>
        <row r="104">
          <cell r="E104" t="str">
            <v xml:space="preserve">  -------</v>
          </cell>
          <cell r="F104" t="str">
            <v xml:space="preserve">  -------</v>
          </cell>
        </row>
        <row r="105">
          <cell r="A105" t="str">
            <v>Expected Operating Margin</v>
          </cell>
          <cell r="E105">
            <v>-195.9311388422723</v>
          </cell>
          <cell r="F105">
            <v>-135878.24478711584</v>
          </cell>
        </row>
        <row r="106">
          <cell r="A106" t="str">
            <v xml:space="preserve">    less: Fixed Costs</v>
          </cell>
          <cell r="E106">
            <v>40.85</v>
          </cell>
          <cell r="F106">
            <v>28329.474999999999</v>
          </cell>
        </row>
        <row r="107">
          <cell r="E107" t="str">
            <v xml:space="preserve">  -------</v>
          </cell>
          <cell r="F107" t="str">
            <v xml:space="preserve">  -------</v>
          </cell>
        </row>
        <row r="108">
          <cell r="A108" t="str">
            <v>Expected Net Revenue</v>
          </cell>
          <cell r="E108">
            <v>-236.7811388422723</v>
          </cell>
          <cell r="F108">
            <v>-164207.71978711584</v>
          </cell>
        </row>
        <row r="110">
          <cell r="A110" t="str">
            <v xml:space="preserve">Expected Break-even cents/lb </v>
          </cell>
        </row>
        <row r="111">
          <cell r="A111" t="str">
            <v>for Cattle Sold, Needed to Cover:</v>
          </cell>
          <cell r="E111" t="str">
            <v>Variable Costs</v>
          </cell>
          <cell r="G111">
            <v>108.75325739435355</v>
          </cell>
        </row>
        <row r="112">
          <cell r="E112" t="str">
            <v>Fixed Costs</v>
          </cell>
          <cell r="G112">
            <v>3.2844221105527636</v>
          </cell>
        </row>
        <row r="113">
          <cell r="G113" t="str">
            <v xml:space="preserve">  -------</v>
          </cell>
        </row>
        <row r="114">
          <cell r="E114" t="str">
            <v>Total Costs</v>
          </cell>
          <cell r="G114">
            <v>112.03767950490632</v>
          </cell>
        </row>
        <row r="116">
          <cell r="I116">
            <v>-0.08</v>
          </cell>
        </row>
        <row r="117">
          <cell r="B117" t="str">
            <v>Chance of at least breaking even       ==&gt;</v>
          </cell>
          <cell r="G117">
            <v>9.2083632739506385E-2</v>
          </cell>
          <cell r="I117">
            <v>86.288208002695285</v>
          </cell>
        </row>
        <row r="118">
          <cell r="B118" t="str">
            <v>Chance of at least</v>
          </cell>
          <cell r="D118">
            <v>0</v>
          </cell>
          <cell r="E118" t="str">
            <v>$/hd return ==&gt;</v>
          </cell>
          <cell r="G118">
            <v>9.2083632739506385E-2</v>
          </cell>
          <cell r="I118">
            <v>14898009545.512007</v>
          </cell>
        </row>
        <row r="119">
          <cell r="B119" t="str">
            <v>Coefficient of variation               ==&gt;</v>
          </cell>
          <cell r="G119">
            <v>0.15414240507946872</v>
          </cell>
          <cell r="I119">
            <v>390645342.5625</v>
          </cell>
        </row>
        <row r="120">
          <cell r="I120">
            <v>123647.30036711076</v>
          </cell>
        </row>
        <row r="121">
          <cell r="E121" t="str">
            <v>Chances of at least</v>
          </cell>
          <cell r="I121">
            <v>178.29459317535799</v>
          </cell>
        </row>
        <row r="122">
          <cell r="C122" t="str">
            <v>Returns $/Head</v>
          </cell>
          <cell r="E122" t="str">
            <v>this return per head</v>
          </cell>
          <cell r="H122" t="str">
            <v>StdPe</v>
          </cell>
          <cell r="I122" t="str">
            <v xml:space="preserve">   b.e.</v>
          </cell>
          <cell r="J122" t="str">
            <v xml:space="preserve"> +profit</v>
          </cell>
          <cell r="K122" t="str">
            <v xml:space="preserve"> ¬ price</v>
          </cell>
        </row>
        <row r="123">
          <cell r="H123" t="str">
            <v>StdQe</v>
          </cell>
          <cell r="I123">
            <v>1.3280331984570675</v>
          </cell>
          <cell r="J123">
            <v>1.3280331984570675</v>
          </cell>
          <cell r="K123">
            <v>1.7630528053574981</v>
          </cell>
        </row>
        <row r="124">
          <cell r="C124">
            <v>-63.835383462175059</v>
          </cell>
          <cell r="E124" t="str">
            <v xml:space="preserve">       17 %</v>
          </cell>
          <cell r="H124" t="str">
            <v>Var(PeQe)</v>
          </cell>
          <cell r="I124">
            <v>0.76474341174910432</v>
          </cell>
          <cell r="J124">
            <v>0.76474341174910432</v>
          </cell>
          <cell r="K124">
            <v>0.71002712292272407</v>
          </cell>
        </row>
        <row r="125">
          <cell r="C125">
            <v>-160.11446377686838</v>
          </cell>
          <cell r="E125" t="str">
            <v xml:space="preserve">       33 %</v>
          </cell>
          <cell r="H125" t="str">
            <v>VarPp</v>
          </cell>
          <cell r="I125">
            <v>0.16517089400863022</v>
          </cell>
          <cell r="J125">
            <v>0.16517089400863022</v>
          </cell>
          <cell r="K125">
            <v>8.4321691918460201E-2</v>
          </cell>
        </row>
        <row r="126">
          <cell r="C126">
            <v>-236.7811388422723</v>
          </cell>
          <cell r="E126" t="str">
            <v xml:space="preserve">       50 %</v>
          </cell>
          <cell r="H126" t="str">
            <v>StdSum</v>
          </cell>
          <cell r="I126">
            <v>9.2083632739506385E-2</v>
          </cell>
          <cell r="J126">
            <v>9.2083632739506385E-2</v>
          </cell>
          <cell r="K126">
            <v>3.8945745809193195E-2</v>
          </cell>
        </row>
        <row r="127">
          <cell r="C127">
            <v>-313.44781390767622</v>
          </cell>
          <cell r="E127" t="str">
            <v xml:space="preserve">       67 %</v>
          </cell>
          <cell r="H127" t="str">
            <v>hdstd</v>
          </cell>
        </row>
        <row r="128">
          <cell r="C128">
            <v>-409.72689422236954</v>
          </cell>
          <cell r="E128" t="str">
            <v xml:space="preserve">       83 %</v>
          </cell>
        </row>
        <row r="129">
          <cell r="H129" t="str">
            <v>z</v>
          </cell>
        </row>
        <row r="130">
          <cell r="B130" t="str">
            <v>Given costs and revenues as inputted above,</v>
          </cell>
          <cell r="H130" t="str">
            <v>v1</v>
          </cell>
        </row>
        <row r="131">
          <cell r="B131" t="str">
            <v>but with feeder calves purchased at</v>
          </cell>
          <cell r="F131">
            <v>118</v>
          </cell>
          <cell r="G131" t="str">
            <v>cents/lb</v>
          </cell>
        </row>
        <row r="132">
          <cell r="B132" t="str">
            <v>then the expected return per head is</v>
          </cell>
          <cell r="F132">
            <v>-314.34278267788875</v>
          </cell>
          <cell r="G132" t="str">
            <v>$/hd</v>
          </cell>
          <cell r="H132" t="str">
            <v>p(vx)</v>
          </cell>
        </row>
        <row r="133">
          <cell r="B133" t="str">
            <v>Chance of at least breaking even is</v>
          </cell>
          <cell r="F133">
            <v>3.8945745809193195E-2</v>
          </cell>
        </row>
        <row r="134">
          <cell r="H134" t="str">
            <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ontario.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dimension ref="A1:AA301"/>
  <sheetViews>
    <sheetView showGridLines="0" tabSelected="1" zoomScaleNormal="100" workbookViewId="0">
      <selection activeCell="A4" sqref="A4"/>
    </sheetView>
  </sheetViews>
  <sheetFormatPr defaultColWidth="11.15234375" defaultRowHeight="13.3" x14ac:dyDescent="0.25"/>
  <cols>
    <col min="1" max="1" width="18.84375" style="6" customWidth="1"/>
    <col min="2" max="2" width="15.53515625" style="6" customWidth="1"/>
    <col min="3" max="3" width="21.07421875" style="6" customWidth="1"/>
    <col min="4" max="7" width="15.69140625" style="6" customWidth="1"/>
    <col min="8" max="8" width="20.84375" style="6" customWidth="1"/>
    <col min="9" max="12" width="11" style="6" hidden="1" customWidth="1"/>
    <col min="13" max="18" width="11.15234375" style="6" hidden="1" customWidth="1"/>
    <col min="19" max="19" width="8.84375" style="6" hidden="1" customWidth="1"/>
    <col min="20" max="20" width="3.15234375" style="6" hidden="1" customWidth="1"/>
    <col min="21" max="21" width="19.15234375" style="6" hidden="1" customWidth="1"/>
    <col min="22" max="27" width="11.15234375" style="6" hidden="1" customWidth="1"/>
    <col min="28" max="28" width="0" style="6" hidden="1" customWidth="1"/>
    <col min="29" max="40" width="11.15234375" style="6"/>
    <col min="41" max="41" width="13.3828125" style="6" customWidth="1"/>
    <col min="42" max="49" width="8.84375" style="6" customWidth="1"/>
    <col min="50" max="50" width="6.53515625" style="6" customWidth="1"/>
    <col min="51" max="240" width="11.15234375" style="6"/>
    <col min="241" max="241" width="8.84375" style="6" customWidth="1"/>
    <col min="242" max="242" width="3.15234375" style="6" customWidth="1"/>
    <col min="243" max="249" width="11.15234375" style="6"/>
    <col min="250" max="250" width="8.84375" style="6" customWidth="1"/>
    <col min="251" max="251" width="3.15234375" style="6" customWidth="1"/>
    <col min="252" max="16384" width="11.15234375" style="6"/>
  </cols>
  <sheetData>
    <row r="1" spans="1:27" ht="15.45" x14ac:dyDescent="0.4">
      <c r="A1" s="122" t="s">
        <v>170</v>
      </c>
    </row>
    <row r="2" spans="1:27" ht="15.45" x14ac:dyDescent="0.4">
      <c r="A2" s="123" t="s">
        <v>151</v>
      </c>
      <c r="B2" s="2"/>
      <c r="C2" s="2" t="s">
        <v>181</v>
      </c>
      <c r="D2" s="3"/>
      <c r="E2" s="3"/>
      <c r="F2" s="3"/>
      <c r="G2" s="131" t="s">
        <v>153</v>
      </c>
      <c r="H2" s="4"/>
      <c r="I2" s="5"/>
      <c r="J2" s="5"/>
      <c r="K2" s="5"/>
      <c r="L2" s="5"/>
      <c r="AA2" s="7">
        <f ca="1">E130</f>
        <v>11368.648496221664</v>
      </c>
    </row>
    <row r="3" spans="1:27" ht="15.45" x14ac:dyDescent="0.4">
      <c r="A3" s="8">
        <v>812</v>
      </c>
      <c r="B3" s="9"/>
      <c r="C3" s="9"/>
      <c r="D3" s="10"/>
      <c r="E3" s="11"/>
      <c r="F3" s="12" t="s">
        <v>52</v>
      </c>
      <c r="G3" s="13"/>
      <c r="H3" s="14">
        <f ca="1">AA2</f>
        <v>11368.648496221664</v>
      </c>
      <c r="I3" s="5"/>
      <c r="J3" s="5"/>
      <c r="K3" s="5"/>
      <c r="L3" s="5"/>
      <c r="AA3" s="6">
        <f>C7*D4</f>
        <v>12375</v>
      </c>
    </row>
    <row r="4" spans="1:27" ht="15.45" x14ac:dyDescent="0.4">
      <c r="A4" s="15"/>
      <c r="B4" s="16" t="s">
        <v>53</v>
      </c>
      <c r="C4" s="9"/>
      <c r="D4" s="17">
        <v>1</v>
      </c>
      <c r="E4" s="11"/>
      <c r="F4" s="16" t="s">
        <v>54</v>
      </c>
      <c r="G4" s="18">
        <v>2205</v>
      </c>
      <c r="H4" s="19" t="s">
        <v>177</v>
      </c>
      <c r="I4" s="5"/>
      <c r="J4" s="5"/>
      <c r="K4" s="5"/>
      <c r="L4" s="5"/>
      <c r="AA4" s="6">
        <f>E7*D4</f>
        <v>9938</v>
      </c>
    </row>
    <row r="5" spans="1:27" ht="15.45" x14ac:dyDescent="0.4">
      <c r="A5" s="124" t="s">
        <v>171</v>
      </c>
      <c r="B5" s="20"/>
      <c r="C5" s="20"/>
      <c r="D5" s="20"/>
      <c r="E5" s="20"/>
      <c r="F5" s="20"/>
      <c r="G5" s="20"/>
      <c r="H5" s="20"/>
      <c r="I5" s="5"/>
      <c r="J5" s="5"/>
      <c r="K5" s="5"/>
      <c r="L5" s="5"/>
      <c r="AA5" s="6">
        <f>G7*D4</f>
        <v>7500</v>
      </c>
    </row>
    <row r="6" spans="1:27" ht="15.45" x14ac:dyDescent="0.4">
      <c r="A6" s="21"/>
      <c r="B6" s="18"/>
      <c r="C6" s="125" t="s">
        <v>172</v>
      </c>
      <c r="D6" s="126"/>
      <c r="E6" s="125" t="s">
        <v>173</v>
      </c>
      <c r="F6" s="126"/>
      <c r="G6" s="125" t="s">
        <v>174</v>
      </c>
      <c r="H6" s="24"/>
      <c r="I6" s="5"/>
      <c r="J6" s="5"/>
      <c r="K6" s="5"/>
      <c r="L6" s="5"/>
      <c r="AA6" s="6">
        <f>E7*D13</f>
        <v>8447.2999999999993</v>
      </c>
    </row>
    <row r="7" spans="1:27" ht="15.45" x14ac:dyDescent="0.4">
      <c r="A7" s="25" t="s">
        <v>178</v>
      </c>
      <c r="B7" s="13"/>
      <c r="C7" s="26">
        <v>12375</v>
      </c>
      <c r="D7" s="13"/>
      <c r="E7" s="26">
        <v>9938</v>
      </c>
      <c r="F7" s="13"/>
      <c r="G7" s="26">
        <v>7500</v>
      </c>
      <c r="H7" s="27"/>
      <c r="I7" s="5"/>
      <c r="J7" s="5"/>
      <c r="K7" s="5"/>
      <c r="L7" s="5"/>
      <c r="AA7" s="6">
        <f>IF(D17&lt;0.0001,0.0001,IF(D17&gt;1,1,D17))</f>
        <v>0.27041372927720492</v>
      </c>
    </row>
    <row r="8" spans="1:27" ht="15.45" x14ac:dyDescent="0.4">
      <c r="A8" s="25" t="s">
        <v>179</v>
      </c>
      <c r="B8" s="13"/>
      <c r="C8" s="28">
        <v>4.4000000000000004</v>
      </c>
      <c r="D8" s="13"/>
      <c r="E8" s="28">
        <v>3.88</v>
      </c>
      <c r="F8" s="13"/>
      <c r="G8" s="28">
        <v>3.2</v>
      </c>
      <c r="H8" s="27"/>
      <c r="I8" s="5"/>
      <c r="J8" s="5"/>
      <c r="K8" s="5"/>
      <c r="L8" s="5"/>
      <c r="AA8" s="7">
        <f>F124</f>
        <v>0</v>
      </c>
    </row>
    <row r="9" spans="1:27" ht="15.45" x14ac:dyDescent="0.4">
      <c r="A9" s="25" t="s">
        <v>180</v>
      </c>
      <c r="B9" s="13"/>
      <c r="C9" s="29">
        <f>AA3</f>
        <v>12375</v>
      </c>
      <c r="D9" s="13"/>
      <c r="E9" s="29">
        <f>AA4</f>
        <v>9938</v>
      </c>
      <c r="F9" s="13"/>
      <c r="G9" s="29">
        <f>AA5</f>
        <v>7500</v>
      </c>
      <c r="H9" s="27"/>
      <c r="I9" s="5"/>
      <c r="J9" s="5"/>
      <c r="K9" s="5"/>
      <c r="L9" s="5"/>
      <c r="AA9" s="6">
        <f>E8*(D17*(D14-E7)+((C7-G7)/2)*EXP(-0.5*((D14-E7)/((C7-G7)/2))^2)/SQRT(2*PI()))</f>
        <v>1565.4116342461402</v>
      </c>
    </row>
    <row r="10" spans="1:27" ht="15.45" x14ac:dyDescent="0.4">
      <c r="A10" s="20"/>
      <c r="B10" s="20"/>
      <c r="C10" s="20"/>
      <c r="D10" s="20"/>
      <c r="E10" s="20"/>
      <c r="F10" s="20"/>
      <c r="G10" s="20"/>
      <c r="H10" s="20"/>
      <c r="I10" s="5"/>
      <c r="J10" s="5"/>
      <c r="K10" s="5"/>
      <c r="L10" s="5"/>
      <c r="AA10" s="7">
        <f ca="1">H112</f>
        <v>25152.791503778339</v>
      </c>
    </row>
    <row r="11" spans="1:27" ht="15.45" x14ac:dyDescent="0.4">
      <c r="A11" s="22" t="s">
        <v>55</v>
      </c>
      <c r="B11" s="30"/>
      <c r="C11" s="30"/>
      <c r="D11" s="30"/>
      <c r="E11" s="30"/>
      <c r="F11" s="18"/>
      <c r="G11" s="18"/>
      <c r="H11" s="24"/>
      <c r="I11" s="5"/>
      <c r="J11" s="5"/>
      <c r="K11" s="5"/>
      <c r="L11" s="5"/>
      <c r="AA11" s="6">
        <f>(EXP(-0.5*((E7-D14)/((C7-G7)/2))^2)/SQRT(2*PI()))*(0.43618*(K33^-1)-0.1202*(K33^-2)+0.9373*(K33^-3))</f>
        <v>0.27041372927720492</v>
      </c>
    </row>
    <row r="12" spans="1:27" ht="15.45" x14ac:dyDescent="0.4">
      <c r="A12" s="22" t="s">
        <v>56</v>
      </c>
      <c r="B12" s="31"/>
      <c r="C12" s="32"/>
      <c r="D12" s="33">
        <v>1213</v>
      </c>
      <c r="E12" s="34" t="s">
        <v>57</v>
      </c>
      <c r="F12" s="35"/>
      <c r="G12" s="36"/>
      <c r="H12" s="26">
        <v>2</v>
      </c>
      <c r="I12" s="5"/>
      <c r="J12" s="5"/>
      <c r="K12" s="5"/>
      <c r="L12" s="5"/>
      <c r="AA12" s="7">
        <f ca="1">H120</f>
        <v>2038</v>
      </c>
    </row>
    <row r="13" spans="1:27" ht="15.45" x14ac:dyDescent="0.4">
      <c r="A13" s="22" t="s">
        <v>58</v>
      </c>
      <c r="B13" s="31"/>
      <c r="C13" s="32"/>
      <c r="D13" s="37">
        <v>0.85</v>
      </c>
      <c r="E13" s="34" t="s">
        <v>59</v>
      </c>
      <c r="F13" s="35"/>
      <c r="G13" s="38"/>
      <c r="H13" s="39">
        <v>0.03</v>
      </c>
      <c r="I13" s="5"/>
      <c r="J13" s="5"/>
      <c r="K13" s="40"/>
      <c r="L13" s="5"/>
      <c r="AA13" s="7">
        <f>F123</f>
        <v>38559.440000000002</v>
      </c>
    </row>
    <row r="14" spans="1:27" ht="15.45" x14ac:dyDescent="0.4">
      <c r="A14" s="22" t="s">
        <v>60</v>
      </c>
      <c r="B14" s="31"/>
      <c r="C14" s="30"/>
      <c r="D14" s="41">
        <f>AA6</f>
        <v>8447.2999999999993</v>
      </c>
      <c r="E14" s="34" t="s">
        <v>61</v>
      </c>
      <c r="F14" s="35"/>
      <c r="G14" s="18"/>
      <c r="H14" s="39">
        <v>4.4999999999999998E-2</v>
      </c>
      <c r="I14" s="5"/>
      <c r="J14" s="5"/>
      <c r="K14" s="40">
        <v>0</v>
      </c>
      <c r="L14" s="5"/>
      <c r="AA14" s="6">
        <f>D4*I149</f>
        <v>15205.253945792034</v>
      </c>
    </row>
    <row r="15" spans="1:27" ht="15.45" x14ac:dyDescent="0.4">
      <c r="A15" s="22" t="s">
        <v>62</v>
      </c>
      <c r="B15" s="31"/>
      <c r="C15" s="30"/>
      <c r="D15" s="42">
        <f>AA7</f>
        <v>0.27041372927720492</v>
      </c>
      <c r="E15" s="30"/>
      <c r="F15" s="35"/>
      <c r="G15" s="18"/>
      <c r="H15" s="43"/>
      <c r="I15" s="5"/>
      <c r="J15" s="5"/>
      <c r="K15" s="44">
        <f>AA8</f>
        <v>0</v>
      </c>
      <c r="L15" s="5"/>
      <c r="AA15" s="6">
        <f>D4*E7/G4</f>
        <v>4.5070294784580502</v>
      </c>
    </row>
    <row r="16" spans="1:27" ht="15.45" x14ac:dyDescent="0.4">
      <c r="A16" s="22" t="s">
        <v>63</v>
      </c>
      <c r="B16" s="30"/>
      <c r="C16" s="30"/>
      <c r="D16" s="45">
        <f>AA9</f>
        <v>1565.4116342461402</v>
      </c>
      <c r="E16" s="30"/>
      <c r="F16" s="18"/>
      <c r="G16" s="18"/>
      <c r="H16" s="24"/>
      <c r="I16" s="5"/>
      <c r="J16" s="5"/>
      <c r="K16" s="44">
        <f ca="1">AA10</f>
        <v>25152.791503778339</v>
      </c>
      <c r="L16" s="5"/>
      <c r="AA16" s="6">
        <f>E8*G4</f>
        <v>8555.4</v>
      </c>
    </row>
    <row r="17" spans="1:27" ht="15.45" x14ac:dyDescent="0.4">
      <c r="A17" s="46"/>
      <c r="B17" s="31"/>
      <c r="C17" s="31"/>
      <c r="D17" s="47">
        <f>AA11</f>
        <v>0.27041372927720492</v>
      </c>
      <c r="E17" s="30"/>
      <c r="F17" s="18"/>
      <c r="G17" s="48"/>
      <c r="H17" s="49"/>
      <c r="I17" s="5"/>
      <c r="J17" s="5"/>
      <c r="K17" s="44">
        <f ca="1">AA12</f>
        <v>2038</v>
      </c>
      <c r="L17" s="5"/>
      <c r="AA17" s="6">
        <f>E67*F67</f>
        <v>5897.5</v>
      </c>
    </row>
    <row r="18" spans="1:27" ht="15.45" x14ac:dyDescent="0.4">
      <c r="A18" s="22" t="s">
        <v>64</v>
      </c>
      <c r="B18" s="31"/>
      <c r="C18" s="31"/>
      <c r="D18" s="50" t="s">
        <v>160</v>
      </c>
      <c r="E18" s="30"/>
      <c r="F18" s="13"/>
      <c r="G18" s="13"/>
      <c r="H18" s="51"/>
      <c r="I18" s="5"/>
      <c r="J18" s="5"/>
      <c r="K18" s="44">
        <f>AA13</f>
        <v>38559.440000000002</v>
      </c>
      <c r="L18" s="5"/>
      <c r="AA18" s="6">
        <f>G67*D4</f>
        <v>5897.5</v>
      </c>
    </row>
    <row r="19" spans="1:27" ht="15.45" x14ac:dyDescent="0.4">
      <c r="A19" s="20"/>
      <c r="B19" s="20"/>
      <c r="C19" s="20"/>
      <c r="D19" s="20"/>
      <c r="E19" s="20"/>
      <c r="F19" s="20"/>
      <c r="G19" s="20"/>
      <c r="H19" s="20"/>
      <c r="I19" s="5"/>
      <c r="J19" s="5"/>
      <c r="K19" s="52">
        <f>AA14</f>
        <v>15205.253945792034</v>
      </c>
      <c r="L19" s="5"/>
      <c r="AA19" s="6">
        <f>D4</f>
        <v>1</v>
      </c>
    </row>
    <row r="20" spans="1:27" ht="15.45" x14ac:dyDescent="0.4">
      <c r="A20" s="21"/>
      <c r="B20" s="18"/>
      <c r="C20" s="18"/>
      <c r="D20" s="23" t="s">
        <v>65</v>
      </c>
      <c r="E20" s="23" t="s">
        <v>66</v>
      </c>
      <c r="F20" s="23" t="s">
        <v>67</v>
      </c>
      <c r="G20" s="23" t="s">
        <v>68</v>
      </c>
      <c r="H20" s="53" t="s">
        <v>69</v>
      </c>
      <c r="I20" s="5"/>
      <c r="J20" s="5"/>
      <c r="K20" s="52">
        <f>AA15</f>
        <v>4.5070294784580502</v>
      </c>
      <c r="L20" s="5"/>
      <c r="AA20" s="6">
        <f>240/20</f>
        <v>12</v>
      </c>
    </row>
    <row r="21" spans="1:27" ht="15.45" x14ac:dyDescent="0.4">
      <c r="A21" s="54" t="s">
        <v>70</v>
      </c>
      <c r="B21" s="13"/>
      <c r="C21" s="13"/>
      <c r="D21" s="55" t="s">
        <v>0</v>
      </c>
      <c r="E21" s="55" t="s">
        <v>1</v>
      </c>
      <c r="F21" s="55" t="s">
        <v>2</v>
      </c>
      <c r="G21" s="55" t="s">
        <v>3</v>
      </c>
      <c r="H21" s="56" t="s">
        <v>3</v>
      </c>
      <c r="I21" s="5"/>
      <c r="J21" s="5"/>
      <c r="K21" s="52">
        <f>AA16</f>
        <v>8555.4</v>
      </c>
      <c r="L21" s="5"/>
      <c r="AA21" s="6">
        <f>E23*F23</f>
        <v>0</v>
      </c>
    </row>
    <row r="22" spans="1:27" ht="15.45" x14ac:dyDescent="0.4">
      <c r="A22" s="25" t="s">
        <v>182</v>
      </c>
      <c r="B22" s="13"/>
      <c r="C22" s="13"/>
      <c r="D22" s="57"/>
      <c r="E22" s="18"/>
      <c r="F22" s="18"/>
      <c r="G22" s="18"/>
      <c r="H22" s="49"/>
      <c r="I22" s="5"/>
      <c r="J22" s="5"/>
      <c r="K22" s="58" t="s">
        <v>4</v>
      </c>
      <c r="L22" s="5"/>
      <c r="AA22" s="6">
        <f>G23*D4</f>
        <v>0</v>
      </c>
    </row>
    <row r="23" spans="1:27" ht="15.45" x14ac:dyDescent="0.4">
      <c r="A23" s="59" t="s">
        <v>71</v>
      </c>
      <c r="B23" s="31"/>
      <c r="C23" s="31"/>
      <c r="D23" s="60" t="s">
        <v>154</v>
      </c>
      <c r="E23" s="26">
        <v>0</v>
      </c>
      <c r="F23" s="26">
        <v>0</v>
      </c>
      <c r="G23" s="29">
        <f>AA21</f>
        <v>0</v>
      </c>
      <c r="H23" s="62">
        <f>AA22</f>
        <v>0</v>
      </c>
      <c r="I23" s="5"/>
      <c r="J23" s="5"/>
      <c r="K23" s="52">
        <f>AA19</f>
        <v>1</v>
      </c>
      <c r="L23" s="5"/>
      <c r="AA23" s="6">
        <f>360/6</f>
        <v>60</v>
      </c>
    </row>
    <row r="24" spans="1:27" ht="15.45" x14ac:dyDescent="0.4">
      <c r="A24" s="59" t="s">
        <v>73</v>
      </c>
      <c r="B24" s="31"/>
      <c r="C24" s="30"/>
      <c r="D24" s="60" t="s">
        <v>72</v>
      </c>
      <c r="E24" s="26">
        <v>0</v>
      </c>
      <c r="F24" s="26">
        <v>0</v>
      </c>
      <c r="G24" s="29">
        <f>AA24</f>
        <v>0</v>
      </c>
      <c r="H24" s="62">
        <f>AA25</f>
        <v>0</v>
      </c>
      <c r="I24" s="5"/>
      <c r="J24" s="5"/>
      <c r="K24" s="40">
        <v>0</v>
      </c>
      <c r="L24" s="5"/>
      <c r="AA24" s="6">
        <f>E24*F24</f>
        <v>0</v>
      </c>
    </row>
    <row r="25" spans="1:27" ht="15.45" x14ac:dyDescent="0.4">
      <c r="A25" s="59" t="s">
        <v>74</v>
      </c>
      <c r="B25" s="30"/>
      <c r="C25" s="30"/>
      <c r="D25" s="60" t="s">
        <v>154</v>
      </c>
      <c r="E25" s="26">
        <v>15</v>
      </c>
      <c r="F25" s="61">
        <v>2</v>
      </c>
      <c r="G25" s="29">
        <f>AA27</f>
        <v>30</v>
      </c>
      <c r="H25" s="62">
        <f>AA28</f>
        <v>30</v>
      </c>
      <c r="I25" s="5"/>
      <c r="J25" s="5"/>
      <c r="K25" s="44">
        <f>AA26</f>
        <v>108.9</v>
      </c>
      <c r="L25" s="5"/>
      <c r="AA25" s="6">
        <f>G24*D4</f>
        <v>0</v>
      </c>
    </row>
    <row r="26" spans="1:27" ht="15.45" x14ac:dyDescent="0.4">
      <c r="A26" s="59" t="s">
        <v>75</v>
      </c>
      <c r="B26" s="30"/>
      <c r="C26" s="32"/>
      <c r="D26" s="60" t="s">
        <v>76</v>
      </c>
      <c r="E26" s="26">
        <v>0</v>
      </c>
      <c r="F26" s="61">
        <v>0</v>
      </c>
      <c r="G26" s="29">
        <f>AA30</f>
        <v>0</v>
      </c>
      <c r="H26" s="62">
        <f>AA31</f>
        <v>0</v>
      </c>
      <c r="I26" s="5"/>
      <c r="J26" s="5"/>
      <c r="K26" s="52">
        <f>AA29</f>
        <v>1859</v>
      </c>
      <c r="L26" s="5"/>
      <c r="AA26" s="7">
        <f>SUM(H70:H76)</f>
        <v>108.9</v>
      </c>
    </row>
    <row r="27" spans="1:27" ht="15.45" x14ac:dyDescent="0.4">
      <c r="A27" s="54" t="s">
        <v>77</v>
      </c>
      <c r="B27" s="63"/>
      <c r="C27" s="63"/>
      <c r="D27" s="63"/>
      <c r="E27" s="18"/>
      <c r="F27" s="18"/>
      <c r="G27" s="18"/>
      <c r="H27" s="24"/>
      <c r="I27" s="5"/>
      <c r="J27" s="5"/>
      <c r="K27" s="44">
        <f>AA32</f>
        <v>21765.391503778337</v>
      </c>
      <c r="L27" s="5"/>
      <c r="AA27" s="6">
        <f>E25*F25</f>
        <v>30</v>
      </c>
    </row>
    <row r="28" spans="1:27" ht="15.45" x14ac:dyDescent="0.4">
      <c r="A28" s="54" t="s">
        <v>78</v>
      </c>
      <c r="B28" s="63"/>
      <c r="C28" s="64"/>
      <c r="D28" s="65" t="s">
        <v>79</v>
      </c>
      <c r="E28" s="26">
        <v>0</v>
      </c>
      <c r="F28" s="28">
        <v>19.600000000000001</v>
      </c>
      <c r="G28" s="29">
        <f>AA34</f>
        <v>0</v>
      </c>
      <c r="H28" s="62">
        <f>AA35</f>
        <v>0</v>
      </c>
      <c r="I28" s="5"/>
      <c r="J28" s="5"/>
      <c r="K28" s="44">
        <f>AA33</f>
        <v>235</v>
      </c>
      <c r="L28" s="5"/>
      <c r="AA28" s="6">
        <f>G25*D4</f>
        <v>30</v>
      </c>
    </row>
    <row r="29" spans="1:27" ht="15.45" x14ac:dyDescent="0.4">
      <c r="A29" s="54" t="s">
        <v>80</v>
      </c>
      <c r="B29" s="63"/>
      <c r="C29" s="63"/>
      <c r="D29" s="65" t="s">
        <v>79</v>
      </c>
      <c r="E29" s="26">
        <v>1.3</v>
      </c>
      <c r="F29" s="28">
        <v>22</v>
      </c>
      <c r="G29" s="29">
        <f>AA37</f>
        <v>28.6</v>
      </c>
      <c r="H29" s="62">
        <f>AA38</f>
        <v>28.6</v>
      </c>
      <c r="I29" s="5"/>
      <c r="J29" s="5"/>
      <c r="K29" s="44">
        <f>AA36</f>
        <v>105</v>
      </c>
      <c r="L29" s="5"/>
      <c r="AA29" s="6">
        <f>SUM(H78:H90)</f>
        <v>1859</v>
      </c>
    </row>
    <row r="30" spans="1:27" ht="15.45" x14ac:dyDescent="0.4">
      <c r="A30" s="25" t="s">
        <v>49</v>
      </c>
      <c r="B30" s="18"/>
      <c r="C30" s="36"/>
      <c r="D30" s="18"/>
      <c r="E30" s="18"/>
      <c r="F30" s="18"/>
      <c r="G30" s="48"/>
      <c r="H30" s="43"/>
      <c r="I30" s="5"/>
      <c r="J30" s="5"/>
      <c r="K30" s="5"/>
      <c r="L30" s="5"/>
      <c r="AA30" s="6">
        <f>E26*F26</f>
        <v>0</v>
      </c>
    </row>
    <row r="31" spans="1:27" ht="15.45" x14ac:dyDescent="0.4">
      <c r="A31" s="25" t="s">
        <v>7</v>
      </c>
      <c r="B31" s="66" t="s">
        <v>155</v>
      </c>
      <c r="C31" s="18"/>
      <c r="D31" s="67" t="s">
        <v>154</v>
      </c>
      <c r="E31" s="26">
        <v>0</v>
      </c>
      <c r="F31" s="61">
        <v>2.44</v>
      </c>
      <c r="G31" s="29">
        <f>AA39</f>
        <v>0</v>
      </c>
      <c r="H31" s="62">
        <f>AA40</f>
        <v>0</v>
      </c>
      <c r="I31" s="5"/>
      <c r="J31" s="5"/>
      <c r="K31" s="5"/>
      <c r="L31" s="5"/>
      <c r="AA31" s="6">
        <f>G26*D4</f>
        <v>0</v>
      </c>
    </row>
    <row r="32" spans="1:27" ht="15.45" x14ac:dyDescent="0.4">
      <c r="A32" s="25" t="s">
        <v>10</v>
      </c>
      <c r="B32" s="68" t="s">
        <v>156</v>
      </c>
      <c r="C32" s="18"/>
      <c r="D32" s="67" t="s">
        <v>154</v>
      </c>
      <c r="E32" s="26">
        <v>0</v>
      </c>
      <c r="F32" s="61">
        <v>1.74</v>
      </c>
      <c r="G32" s="29">
        <f>AA41</f>
        <v>0</v>
      </c>
      <c r="H32" s="62">
        <f>AA42</f>
        <v>0</v>
      </c>
      <c r="I32" s="5"/>
      <c r="J32" s="58" t="s">
        <v>8</v>
      </c>
      <c r="K32" s="58" t="s">
        <v>9</v>
      </c>
      <c r="L32" s="5"/>
      <c r="AA32" s="7">
        <f>SUM(H65:H69,H93:H94,H96:H97)+H100</f>
        <v>21765.391503778337</v>
      </c>
    </row>
    <row r="33" spans="1:27" ht="15.45" hidden="1" x14ac:dyDescent="0.4">
      <c r="A33" s="25" t="s">
        <v>50</v>
      </c>
      <c r="B33" s="18"/>
      <c r="C33" s="18"/>
      <c r="D33" s="18"/>
      <c r="E33" s="18"/>
      <c r="F33" s="18"/>
      <c r="G33" s="48"/>
      <c r="H33" s="43"/>
      <c r="I33" s="5"/>
      <c r="J33" s="58" t="s">
        <v>11</v>
      </c>
      <c r="K33" s="52">
        <f>AA43</f>
        <v>1.2034507360000002</v>
      </c>
      <c r="L33" s="5"/>
      <c r="AA33" s="7">
        <f>H95</f>
        <v>235</v>
      </c>
    </row>
    <row r="34" spans="1:27" ht="15.45" hidden="1" x14ac:dyDescent="0.4">
      <c r="A34" s="25" t="s">
        <v>12</v>
      </c>
      <c r="B34" s="68" t="s">
        <v>155</v>
      </c>
      <c r="C34" s="13"/>
      <c r="D34" s="67" t="s">
        <v>154</v>
      </c>
      <c r="E34" s="26">
        <v>0</v>
      </c>
      <c r="F34" s="61">
        <v>0</v>
      </c>
      <c r="G34" s="29">
        <f>AA45</f>
        <v>0</v>
      </c>
      <c r="H34" s="62">
        <f>AA46</f>
        <v>0</v>
      </c>
      <c r="I34" s="5"/>
      <c r="J34" s="40"/>
      <c r="K34" s="44">
        <f>AA44</f>
        <v>1213</v>
      </c>
      <c r="L34" s="5"/>
      <c r="AA34" s="6">
        <f>E28*F28</f>
        <v>0</v>
      </c>
    </row>
    <row r="35" spans="1:27" ht="15.45" hidden="1" x14ac:dyDescent="0.4">
      <c r="A35" s="25" t="s">
        <v>13</v>
      </c>
      <c r="B35" s="66" t="s">
        <v>156</v>
      </c>
      <c r="C35" s="18"/>
      <c r="D35" s="67" t="s">
        <v>154</v>
      </c>
      <c r="E35" s="26">
        <v>0</v>
      </c>
      <c r="F35" s="61">
        <v>0</v>
      </c>
      <c r="G35" s="29">
        <f>AA48</f>
        <v>0</v>
      </c>
      <c r="H35" s="62">
        <f>AA49</f>
        <v>0</v>
      </c>
      <c r="I35" s="5"/>
      <c r="J35" s="5"/>
      <c r="K35" s="44">
        <f>AA47</f>
        <v>1213</v>
      </c>
      <c r="L35" s="5"/>
      <c r="AA35" s="6">
        <f>G28*D4</f>
        <v>0</v>
      </c>
    </row>
    <row r="36" spans="1:27" ht="15.45" hidden="1" x14ac:dyDescent="0.4">
      <c r="A36" s="25" t="s">
        <v>14</v>
      </c>
      <c r="B36" s="66" t="s">
        <v>157</v>
      </c>
      <c r="C36" s="18"/>
      <c r="D36" s="67" t="s">
        <v>154</v>
      </c>
      <c r="E36" s="26">
        <v>0</v>
      </c>
      <c r="F36" s="61">
        <v>0</v>
      </c>
      <c r="G36" s="29">
        <f>AA50</f>
        <v>0</v>
      </c>
      <c r="H36" s="62">
        <f>AA51</f>
        <v>0</v>
      </c>
      <c r="I36" s="5"/>
      <c r="J36" s="5"/>
      <c r="K36" s="5"/>
      <c r="L36" s="5"/>
      <c r="AA36" s="7">
        <f>SUM(H98:H99)</f>
        <v>105</v>
      </c>
    </row>
    <row r="37" spans="1:27" ht="15.45" x14ac:dyDescent="0.4">
      <c r="A37" s="25" t="s">
        <v>51</v>
      </c>
      <c r="B37" s="18"/>
      <c r="C37" s="13"/>
      <c r="D37" s="18"/>
      <c r="E37" s="18"/>
      <c r="F37" s="18"/>
      <c r="G37" s="48"/>
      <c r="H37" s="43"/>
      <c r="I37" s="5"/>
      <c r="J37" s="5"/>
      <c r="K37" s="5"/>
      <c r="L37" s="5"/>
      <c r="AA37" s="6">
        <f>E29*F29</f>
        <v>28.6</v>
      </c>
    </row>
    <row r="38" spans="1:27" ht="15.45" hidden="1" x14ac:dyDescent="0.4">
      <c r="A38" s="25" t="s">
        <v>15</v>
      </c>
      <c r="B38" s="68" t="s">
        <v>83</v>
      </c>
      <c r="C38" s="18"/>
      <c r="D38" s="67" t="s">
        <v>81</v>
      </c>
      <c r="E38" s="26">
        <v>0</v>
      </c>
      <c r="F38" s="61">
        <v>2.44</v>
      </c>
      <c r="G38" s="29">
        <f>AA52</f>
        <v>0</v>
      </c>
      <c r="H38" s="62">
        <f>AA53</f>
        <v>0</v>
      </c>
      <c r="I38" s="5"/>
      <c r="J38" s="5"/>
      <c r="K38" s="5"/>
      <c r="L38" s="5"/>
      <c r="AA38" s="6">
        <f>G29*D4</f>
        <v>28.6</v>
      </c>
    </row>
    <row r="39" spans="1:27" ht="15.45" hidden="1" x14ac:dyDescent="0.4">
      <c r="A39" s="25" t="s">
        <v>158</v>
      </c>
      <c r="B39" s="66"/>
      <c r="C39" s="18"/>
      <c r="D39" s="67" t="s">
        <v>17</v>
      </c>
      <c r="E39" s="26">
        <v>0</v>
      </c>
      <c r="F39" s="61">
        <v>114</v>
      </c>
      <c r="G39" s="29">
        <f>AA54</f>
        <v>0</v>
      </c>
      <c r="H39" s="62">
        <f>AA55</f>
        <v>0</v>
      </c>
      <c r="I39" s="5"/>
      <c r="J39" s="5"/>
      <c r="K39" s="5"/>
      <c r="L39" s="5"/>
      <c r="AA39" s="6">
        <f>E31*F31</f>
        <v>0</v>
      </c>
    </row>
    <row r="40" spans="1:27" ht="15.45" x14ac:dyDescent="0.4">
      <c r="A40" s="54" t="s">
        <v>16</v>
      </c>
      <c r="B40" s="69"/>
      <c r="C40" s="13"/>
      <c r="D40" s="70" t="s">
        <v>17</v>
      </c>
      <c r="E40" s="26">
        <v>0</v>
      </c>
      <c r="F40" s="28">
        <v>0</v>
      </c>
      <c r="G40" s="29">
        <f>AA56</f>
        <v>0</v>
      </c>
      <c r="H40" s="62">
        <f>AA57</f>
        <v>0</v>
      </c>
      <c r="I40" s="5"/>
      <c r="J40" s="5"/>
      <c r="K40" s="5"/>
      <c r="L40" s="5"/>
      <c r="AA40" s="6">
        <f>G31*D4</f>
        <v>0</v>
      </c>
    </row>
    <row r="41" spans="1:27" ht="15.45" x14ac:dyDescent="0.4">
      <c r="A41" s="54" t="s">
        <v>84</v>
      </c>
      <c r="B41" s="18"/>
      <c r="C41" s="13"/>
      <c r="D41" s="70" t="s">
        <v>17</v>
      </c>
      <c r="E41" s="26">
        <v>0</v>
      </c>
      <c r="F41" s="28">
        <v>0</v>
      </c>
      <c r="G41" s="29">
        <f>AA58</f>
        <v>0</v>
      </c>
      <c r="H41" s="62">
        <f>AA59</f>
        <v>0</v>
      </c>
      <c r="I41" s="5"/>
      <c r="J41" s="5"/>
      <c r="K41" s="5"/>
      <c r="L41" s="5"/>
      <c r="AA41" s="6">
        <f>E32*F32</f>
        <v>0</v>
      </c>
    </row>
    <row r="42" spans="1:27" ht="15.45" x14ac:dyDescent="0.4">
      <c r="A42" s="54" t="s">
        <v>18</v>
      </c>
      <c r="B42" s="18"/>
      <c r="C42" s="36"/>
      <c r="D42" s="70" t="s">
        <v>17</v>
      </c>
      <c r="E42" s="26">
        <v>1</v>
      </c>
      <c r="F42" s="28">
        <v>30</v>
      </c>
      <c r="G42" s="29">
        <f>AA60</f>
        <v>30</v>
      </c>
      <c r="H42" s="62">
        <f>AA61</f>
        <v>30</v>
      </c>
      <c r="I42" s="71"/>
      <c r="J42" s="71"/>
      <c r="K42" s="71"/>
      <c r="L42" s="5"/>
      <c r="AA42" s="6">
        <f>G32*D4</f>
        <v>0</v>
      </c>
    </row>
    <row r="43" spans="1:27" ht="15.45" x14ac:dyDescent="0.4">
      <c r="A43" s="59" t="s">
        <v>159</v>
      </c>
      <c r="B43" s="18"/>
      <c r="C43" s="36"/>
      <c r="D43" s="70" t="s">
        <v>17</v>
      </c>
      <c r="E43" s="26">
        <v>0</v>
      </c>
      <c r="F43" s="28">
        <v>0</v>
      </c>
      <c r="G43" s="29">
        <f>AA62</f>
        <v>0</v>
      </c>
      <c r="H43" s="62">
        <f>AA63</f>
        <v>0</v>
      </c>
      <c r="I43" s="5"/>
      <c r="J43" s="5"/>
      <c r="K43" s="5"/>
      <c r="L43" s="5"/>
      <c r="AA43" s="6">
        <f>(1+0.33267*((E7-D14)/((C7-G7)/2)))</f>
        <v>1.2034507360000002</v>
      </c>
    </row>
    <row r="44" spans="1:27" ht="15.45" x14ac:dyDescent="0.4">
      <c r="A44" s="54" t="s">
        <v>85</v>
      </c>
      <c r="B44" s="18"/>
      <c r="C44" s="36"/>
      <c r="D44" s="18"/>
      <c r="E44" s="18"/>
      <c r="F44" s="36"/>
      <c r="G44" s="48"/>
      <c r="H44" s="43"/>
      <c r="I44" s="5"/>
      <c r="J44" s="5"/>
      <c r="K44" s="5"/>
      <c r="L44" s="5"/>
      <c r="AA44" s="7">
        <f>H94</f>
        <v>1213</v>
      </c>
    </row>
    <row r="45" spans="1:27" ht="15.45" x14ac:dyDescent="0.4">
      <c r="A45" s="54" t="s">
        <v>86</v>
      </c>
      <c r="B45" s="18"/>
      <c r="C45" s="18"/>
      <c r="D45" s="70" t="s">
        <v>19</v>
      </c>
      <c r="E45" s="26">
        <v>1</v>
      </c>
      <c r="F45" s="26">
        <v>49</v>
      </c>
      <c r="G45" s="29">
        <f>AA64</f>
        <v>49</v>
      </c>
      <c r="H45" s="62">
        <f>AA65</f>
        <v>49</v>
      </c>
      <c r="I45" s="5"/>
      <c r="J45" s="5"/>
      <c r="K45" s="5"/>
      <c r="L45" s="5"/>
      <c r="AA45" s="6">
        <f>E34*F34</f>
        <v>0</v>
      </c>
    </row>
    <row r="46" spans="1:27" ht="15.45" x14ac:dyDescent="0.4">
      <c r="A46" s="54" t="s">
        <v>87</v>
      </c>
      <c r="B46" s="18"/>
      <c r="C46" s="18"/>
      <c r="D46" s="70" t="s">
        <v>19</v>
      </c>
      <c r="E46" s="26">
        <v>1</v>
      </c>
      <c r="F46" s="26">
        <v>7</v>
      </c>
      <c r="G46" s="29">
        <f>AA66</f>
        <v>7</v>
      </c>
      <c r="H46" s="62">
        <f>AA67</f>
        <v>7</v>
      </c>
      <c r="I46" s="71"/>
      <c r="J46" s="71"/>
      <c r="K46" s="71"/>
      <c r="L46" s="5"/>
      <c r="AA46" s="6">
        <f>G34*D4</f>
        <v>0</v>
      </c>
    </row>
    <row r="47" spans="1:27" ht="15.45" x14ac:dyDescent="0.4">
      <c r="A47" s="54" t="s">
        <v>88</v>
      </c>
      <c r="B47" s="18"/>
      <c r="C47" s="13"/>
      <c r="D47" s="70" t="s">
        <v>19</v>
      </c>
      <c r="E47" s="26">
        <v>0</v>
      </c>
      <c r="F47" s="26">
        <v>0</v>
      </c>
      <c r="G47" s="29">
        <f>AA68</f>
        <v>0</v>
      </c>
      <c r="H47" s="62">
        <f>AA69</f>
        <v>0</v>
      </c>
      <c r="I47" s="5"/>
      <c r="J47" s="5"/>
      <c r="K47" s="40"/>
      <c r="L47" s="5"/>
      <c r="AA47" s="7">
        <f>K34+0</f>
        <v>1213</v>
      </c>
    </row>
    <row r="48" spans="1:27" ht="15.45" x14ac:dyDescent="0.4">
      <c r="A48" s="54" t="s">
        <v>89</v>
      </c>
      <c r="B48" s="18"/>
      <c r="C48" s="13"/>
      <c r="D48" s="70" t="s">
        <v>19</v>
      </c>
      <c r="E48" s="26">
        <v>1</v>
      </c>
      <c r="F48" s="26">
        <v>5</v>
      </c>
      <c r="G48" s="29">
        <f>AA70</f>
        <v>5</v>
      </c>
      <c r="H48" s="62">
        <f>AA71</f>
        <v>5</v>
      </c>
      <c r="I48" s="5"/>
      <c r="J48" s="5"/>
      <c r="K48" s="40"/>
      <c r="L48" s="5"/>
      <c r="AA48" s="6">
        <f>E35*F35</f>
        <v>0</v>
      </c>
    </row>
    <row r="49" spans="1:27" ht="15.45" x14ac:dyDescent="0.4">
      <c r="A49" s="72"/>
      <c r="B49" s="18"/>
      <c r="C49" s="13"/>
      <c r="D49" s="18"/>
      <c r="E49" s="36"/>
      <c r="F49" s="18"/>
      <c r="G49" s="48"/>
      <c r="H49" s="56" t="s">
        <v>3</v>
      </c>
      <c r="I49" s="5"/>
      <c r="J49" s="5"/>
      <c r="K49" s="40"/>
      <c r="L49" s="5"/>
      <c r="AA49" s="6">
        <f>G35*D4</f>
        <v>0</v>
      </c>
    </row>
    <row r="50" spans="1:27" ht="15.45" x14ac:dyDescent="0.4">
      <c r="A50" s="54"/>
      <c r="B50" s="13"/>
      <c r="C50" s="13"/>
      <c r="D50" s="13"/>
      <c r="E50" s="13"/>
      <c r="F50" s="13"/>
      <c r="G50" s="13"/>
      <c r="H50" s="27"/>
      <c r="I50" s="5"/>
      <c r="J50" s="5"/>
      <c r="K50" s="40"/>
      <c r="L50" s="5"/>
      <c r="AA50" s="6">
        <f>E36*F36</f>
        <v>0</v>
      </c>
    </row>
    <row r="51" spans="1:27" ht="15.45" x14ac:dyDescent="0.4">
      <c r="A51" s="54" t="s">
        <v>90</v>
      </c>
      <c r="B51" s="18"/>
      <c r="C51" s="13"/>
      <c r="D51" s="18"/>
      <c r="E51" s="48"/>
      <c r="F51" s="18"/>
      <c r="G51" s="48"/>
      <c r="H51" s="62">
        <f>AA72</f>
        <v>149.6</v>
      </c>
      <c r="I51" s="5"/>
      <c r="J51" s="5"/>
      <c r="K51" s="40"/>
      <c r="L51" s="5"/>
      <c r="AA51" s="6">
        <f>G36*D4</f>
        <v>0</v>
      </c>
    </row>
    <row r="52" spans="1:27" ht="15.45" x14ac:dyDescent="0.4">
      <c r="A52" s="25"/>
      <c r="B52" s="18"/>
      <c r="C52" s="13"/>
      <c r="D52" s="18"/>
      <c r="E52" s="48"/>
      <c r="F52" s="18"/>
      <c r="G52" s="48"/>
      <c r="H52" s="43"/>
      <c r="I52" s="5"/>
      <c r="J52" s="5"/>
      <c r="K52" s="40"/>
      <c r="L52" s="5"/>
      <c r="AA52" s="6">
        <f>E38*F38</f>
        <v>0</v>
      </c>
    </row>
    <row r="53" spans="1:27" ht="15.45" x14ac:dyDescent="0.4">
      <c r="A53" s="54" t="s">
        <v>91</v>
      </c>
      <c r="B53" s="13"/>
      <c r="C53" s="13"/>
      <c r="D53" s="23" t="s">
        <v>65</v>
      </c>
      <c r="E53" s="23" t="s">
        <v>66</v>
      </c>
      <c r="F53" s="23" t="s">
        <v>67</v>
      </c>
      <c r="G53" s="23" t="s">
        <v>68</v>
      </c>
      <c r="H53" s="53" t="s">
        <v>69</v>
      </c>
      <c r="I53" s="5"/>
      <c r="J53" s="5"/>
      <c r="K53" s="40"/>
      <c r="L53" s="5"/>
      <c r="AA53" s="6">
        <f>G38*D4</f>
        <v>0</v>
      </c>
    </row>
    <row r="54" spans="1:27" ht="15.45" x14ac:dyDescent="0.4">
      <c r="A54" s="54" t="s">
        <v>92</v>
      </c>
      <c r="B54" s="13"/>
      <c r="C54" s="13"/>
      <c r="D54" s="70" t="s">
        <v>19</v>
      </c>
      <c r="E54" s="26">
        <v>1</v>
      </c>
      <c r="F54" s="26">
        <v>14</v>
      </c>
      <c r="G54" s="29">
        <f>AA73</f>
        <v>14</v>
      </c>
      <c r="H54" s="62">
        <f>AA74</f>
        <v>14</v>
      </c>
      <c r="I54" s="5"/>
      <c r="J54" s="5"/>
      <c r="K54" s="40"/>
      <c r="L54" s="5"/>
      <c r="AA54" s="6">
        <f>E39*F39</f>
        <v>0</v>
      </c>
    </row>
    <row r="55" spans="1:27" ht="15.45" x14ac:dyDescent="0.4">
      <c r="A55" s="54" t="s">
        <v>93</v>
      </c>
      <c r="B55" s="13"/>
      <c r="C55" s="18"/>
      <c r="D55" s="70" t="s">
        <v>19</v>
      </c>
      <c r="E55" s="26">
        <v>1</v>
      </c>
      <c r="F55" s="26">
        <v>7</v>
      </c>
      <c r="G55" s="29">
        <f>AA75</f>
        <v>7</v>
      </c>
      <c r="H55" s="62">
        <f>AA76</f>
        <v>7</v>
      </c>
      <c r="I55" s="5"/>
      <c r="J55" s="5"/>
      <c r="K55" s="40"/>
      <c r="L55" s="5"/>
      <c r="AA55" s="6">
        <f>G39*D4</f>
        <v>0</v>
      </c>
    </row>
    <row r="56" spans="1:27" ht="15.45" x14ac:dyDescent="0.4">
      <c r="A56" s="54" t="s">
        <v>94</v>
      </c>
      <c r="B56" s="13"/>
      <c r="C56" s="13"/>
      <c r="D56" s="70" t="s">
        <v>19</v>
      </c>
      <c r="E56" s="26">
        <v>1</v>
      </c>
      <c r="F56" s="26">
        <v>0</v>
      </c>
      <c r="G56" s="29">
        <f>AA77</f>
        <v>0</v>
      </c>
      <c r="H56" s="62">
        <f>AA78</f>
        <v>0</v>
      </c>
      <c r="I56" s="5"/>
      <c r="J56" s="40"/>
      <c r="K56" s="40"/>
      <c r="L56" s="5"/>
      <c r="AA56" s="6">
        <f>E40*F40</f>
        <v>0</v>
      </c>
    </row>
    <row r="57" spans="1:27" ht="15.45" x14ac:dyDescent="0.4">
      <c r="A57" s="54" t="s">
        <v>95</v>
      </c>
      <c r="B57" s="13"/>
      <c r="C57" s="13"/>
      <c r="D57" s="70" t="s">
        <v>19</v>
      </c>
      <c r="E57" s="26">
        <v>1</v>
      </c>
      <c r="F57" s="26">
        <v>650</v>
      </c>
      <c r="G57" s="29">
        <f>AA79</f>
        <v>650</v>
      </c>
      <c r="H57" s="62">
        <f>AA80</f>
        <v>650</v>
      </c>
      <c r="I57" s="5"/>
      <c r="J57" s="40"/>
      <c r="K57" s="40"/>
      <c r="L57" s="5"/>
      <c r="AA57" s="6">
        <f>G40*D4</f>
        <v>0</v>
      </c>
    </row>
    <row r="58" spans="1:27" ht="15.45" x14ac:dyDescent="0.4">
      <c r="A58" s="72"/>
      <c r="B58" s="13"/>
      <c r="C58" s="13"/>
      <c r="D58" s="18"/>
      <c r="E58" s="18"/>
      <c r="F58" s="18"/>
      <c r="G58" s="48"/>
      <c r="H58" s="56" t="s">
        <v>3</v>
      </c>
      <c r="I58" s="5"/>
      <c r="J58" s="5"/>
      <c r="K58" s="40"/>
      <c r="L58" s="5"/>
      <c r="AA58" s="6">
        <f>E41*F41</f>
        <v>0</v>
      </c>
    </row>
    <row r="59" spans="1:27" ht="15.45" x14ac:dyDescent="0.4">
      <c r="A59" s="54" t="s">
        <v>96</v>
      </c>
      <c r="B59" s="13"/>
      <c r="C59" s="18"/>
      <c r="D59" s="18"/>
      <c r="E59" s="48"/>
      <c r="F59" s="36"/>
      <c r="G59" s="48"/>
      <c r="H59" s="62">
        <f>AA81</f>
        <v>671</v>
      </c>
      <c r="I59" s="5"/>
      <c r="J59" s="5"/>
      <c r="K59" s="40"/>
      <c r="L59" s="5"/>
      <c r="AA59" s="6">
        <f>G41*D4</f>
        <v>0</v>
      </c>
    </row>
    <row r="60" spans="1:27" ht="15.45" x14ac:dyDescent="0.4">
      <c r="A60" s="73"/>
      <c r="B60" s="13"/>
      <c r="C60" s="13"/>
      <c r="D60" s="18"/>
      <c r="E60" s="48"/>
      <c r="F60" s="36"/>
      <c r="G60" s="48"/>
      <c r="H60" s="56" t="s">
        <v>3</v>
      </c>
      <c r="I60" s="5"/>
      <c r="J60" s="40"/>
      <c r="K60" s="40"/>
      <c r="L60" s="5"/>
      <c r="AA60" s="6">
        <f>E42*F42</f>
        <v>30</v>
      </c>
    </row>
    <row r="61" spans="1:27" ht="15.45" x14ac:dyDescent="0.4">
      <c r="A61" s="54" t="s">
        <v>97</v>
      </c>
      <c r="B61" s="18"/>
      <c r="C61" s="18"/>
      <c r="D61" s="18"/>
      <c r="E61" s="48"/>
      <c r="F61" s="36"/>
      <c r="G61" s="48"/>
      <c r="H61" s="62">
        <f>AA82</f>
        <v>820.6</v>
      </c>
      <c r="I61" s="5"/>
      <c r="J61" s="5"/>
      <c r="K61" s="40"/>
      <c r="L61" s="5"/>
      <c r="AA61" s="6">
        <f>G42*D4</f>
        <v>30</v>
      </c>
    </row>
    <row r="62" spans="1:27" ht="15.45" x14ac:dyDescent="0.4">
      <c r="A62" s="21"/>
      <c r="B62" s="18"/>
      <c r="C62" s="18"/>
      <c r="D62" s="18"/>
      <c r="E62" s="48"/>
      <c r="F62" s="36"/>
      <c r="G62" s="48"/>
      <c r="H62" s="43"/>
      <c r="I62" s="5"/>
      <c r="J62" s="5"/>
      <c r="K62" s="40"/>
      <c r="L62" s="5"/>
      <c r="AA62" s="6">
        <f>E43*F43</f>
        <v>0</v>
      </c>
    </row>
    <row r="63" spans="1:27" ht="15.45" x14ac:dyDescent="0.4">
      <c r="A63" s="21"/>
      <c r="B63" s="18"/>
      <c r="C63" s="18"/>
      <c r="D63" s="23" t="s">
        <v>65</v>
      </c>
      <c r="E63" s="23" t="s">
        <v>66</v>
      </c>
      <c r="F63" s="23" t="s">
        <v>67</v>
      </c>
      <c r="G63" s="23" t="s">
        <v>68</v>
      </c>
      <c r="H63" s="53" t="s">
        <v>69</v>
      </c>
      <c r="I63" s="5"/>
      <c r="J63" s="5"/>
      <c r="K63" s="40"/>
      <c r="L63" s="5"/>
      <c r="AA63" s="6">
        <f>G43*D4</f>
        <v>0</v>
      </c>
    </row>
    <row r="64" spans="1:27" ht="15.45" x14ac:dyDescent="0.4">
      <c r="A64" s="59" t="s">
        <v>98</v>
      </c>
      <c r="B64" s="18"/>
      <c r="C64" s="18"/>
      <c r="D64" s="55" t="s">
        <v>0</v>
      </c>
      <c r="E64" s="55" t="s">
        <v>1</v>
      </c>
      <c r="F64" s="55" t="s">
        <v>2</v>
      </c>
      <c r="G64" s="55" t="s">
        <v>3</v>
      </c>
      <c r="H64" s="56" t="s">
        <v>3</v>
      </c>
      <c r="I64" s="5"/>
      <c r="J64" s="40"/>
      <c r="K64" s="40"/>
      <c r="L64" s="5"/>
      <c r="AA64" s="6">
        <f>E45*F45</f>
        <v>49</v>
      </c>
    </row>
    <row r="65" spans="1:27" ht="15.45" x14ac:dyDescent="0.4">
      <c r="A65" s="59" t="s">
        <v>99</v>
      </c>
      <c r="B65" s="18"/>
      <c r="C65" s="18"/>
      <c r="D65" s="13"/>
      <c r="E65" s="13"/>
      <c r="F65" s="26">
        <v>0</v>
      </c>
      <c r="G65" s="29">
        <f>AA83</f>
        <v>401.0915037783376</v>
      </c>
      <c r="H65" s="62">
        <f>AA84</f>
        <v>401.0915037783376</v>
      </c>
      <c r="I65" s="5"/>
      <c r="J65" s="5"/>
      <c r="K65" s="5"/>
      <c r="L65" s="5"/>
      <c r="AA65" s="6">
        <f>G45*D4</f>
        <v>49</v>
      </c>
    </row>
    <row r="66" spans="1:27" ht="15.45" x14ac:dyDescent="0.4">
      <c r="A66" s="74" t="str">
        <f>" OU amortie sur "&amp;FIXED(H12,0,TRUE)&amp;" ans (laisser «entrée directe» à 0)"</f>
        <v xml:space="preserve"> OU amortie sur 2 ans (laisser «entrée directe» à 0)</v>
      </c>
      <c r="B66" s="13"/>
      <c r="C66" s="13"/>
      <c r="D66" s="18"/>
      <c r="E66" s="18"/>
      <c r="F66" s="18"/>
      <c r="G66" s="75">
        <v>0.2429</v>
      </c>
      <c r="H66" s="56" t="s">
        <v>20</v>
      </c>
      <c r="I66" s="5"/>
      <c r="J66" s="40"/>
      <c r="K66" s="40"/>
      <c r="L66" s="5"/>
      <c r="AA66" s="6">
        <f>E46*F46</f>
        <v>7</v>
      </c>
    </row>
    <row r="67" spans="1:27" ht="15.45" x14ac:dyDescent="0.4">
      <c r="A67" s="59" t="s">
        <v>5</v>
      </c>
      <c r="B67" s="31"/>
      <c r="C67" s="31"/>
      <c r="D67" s="60" t="s">
        <v>6</v>
      </c>
      <c r="E67" s="26">
        <v>17500</v>
      </c>
      <c r="F67" s="61">
        <v>0.33700000000000002</v>
      </c>
      <c r="G67" s="29">
        <f>AA17</f>
        <v>5897.5</v>
      </c>
      <c r="H67" s="62">
        <f>AA18</f>
        <v>5897.5</v>
      </c>
      <c r="I67" s="5"/>
      <c r="J67" s="5"/>
      <c r="K67" s="40"/>
      <c r="L67" s="5"/>
      <c r="AA67" s="6">
        <f>G46*D4</f>
        <v>7</v>
      </c>
    </row>
    <row r="68" spans="1:27" ht="15.45" x14ac:dyDescent="0.4">
      <c r="A68" s="59" t="s">
        <v>78</v>
      </c>
      <c r="B68" s="31"/>
      <c r="C68" s="31"/>
      <c r="D68" s="60" t="s">
        <v>79</v>
      </c>
      <c r="E68" s="26">
        <v>421</v>
      </c>
      <c r="F68" s="28">
        <v>19.600000000000001</v>
      </c>
      <c r="G68" s="29">
        <f>AA86</f>
        <v>8251.6</v>
      </c>
      <c r="H68" s="62">
        <f>AA87</f>
        <v>8251.6</v>
      </c>
      <c r="I68" s="5"/>
      <c r="J68" s="5"/>
      <c r="K68" s="40"/>
      <c r="L68" s="5"/>
      <c r="AA68" s="6">
        <f>E47*F47</f>
        <v>0</v>
      </c>
    </row>
    <row r="69" spans="1:27" ht="15.45" x14ac:dyDescent="0.4">
      <c r="A69" s="59" t="s">
        <v>80</v>
      </c>
      <c r="B69" s="30"/>
      <c r="C69" s="31"/>
      <c r="D69" s="60" t="s">
        <v>79</v>
      </c>
      <c r="E69" s="26">
        <v>12.6</v>
      </c>
      <c r="F69" s="28">
        <v>22</v>
      </c>
      <c r="G69" s="29">
        <f>AA88</f>
        <v>277.2</v>
      </c>
      <c r="H69" s="62">
        <f>AA89</f>
        <v>277.2</v>
      </c>
      <c r="I69" s="5"/>
      <c r="J69" s="5"/>
      <c r="K69" s="40"/>
      <c r="L69" s="5"/>
      <c r="AA69" s="6">
        <f>G47*D4</f>
        <v>0</v>
      </c>
    </row>
    <row r="70" spans="1:27" ht="15.45" x14ac:dyDescent="0.4">
      <c r="A70" s="59" t="s">
        <v>100</v>
      </c>
      <c r="B70" s="30"/>
      <c r="C70" s="31"/>
      <c r="D70" s="30"/>
      <c r="E70" s="18"/>
      <c r="F70" s="36"/>
      <c r="G70" s="48"/>
      <c r="H70" s="43"/>
      <c r="I70" s="5"/>
      <c r="J70" s="5"/>
      <c r="K70" s="40"/>
      <c r="L70" s="5"/>
      <c r="AA70" s="6">
        <f>E48*F48</f>
        <v>5</v>
      </c>
    </row>
    <row r="71" spans="1:27" ht="15.45" x14ac:dyDescent="0.4">
      <c r="A71" s="59" t="s">
        <v>7</v>
      </c>
      <c r="B71" s="76" t="s">
        <v>155</v>
      </c>
      <c r="C71" s="31"/>
      <c r="D71" s="67" t="s">
        <v>154</v>
      </c>
      <c r="E71" s="26">
        <v>37.5</v>
      </c>
      <c r="F71" s="61">
        <v>2.44</v>
      </c>
      <c r="G71" s="29">
        <f>AA90</f>
        <v>91.5</v>
      </c>
      <c r="H71" s="62">
        <f>AA91</f>
        <v>91.5</v>
      </c>
      <c r="I71" s="5"/>
      <c r="J71" s="5"/>
      <c r="K71" s="40"/>
      <c r="L71" s="5"/>
      <c r="AA71" s="6">
        <f>G48*D4</f>
        <v>5</v>
      </c>
    </row>
    <row r="72" spans="1:27" ht="15.45" x14ac:dyDescent="0.4">
      <c r="A72" s="59" t="s">
        <v>10</v>
      </c>
      <c r="B72" s="66" t="s">
        <v>156</v>
      </c>
      <c r="C72" s="31"/>
      <c r="D72" s="67" t="s">
        <v>154</v>
      </c>
      <c r="E72" s="26">
        <v>10</v>
      </c>
      <c r="F72" s="61">
        <v>1.74</v>
      </c>
      <c r="G72" s="29">
        <f>AA92</f>
        <v>17.399999999999999</v>
      </c>
      <c r="H72" s="62">
        <f>AA93</f>
        <v>17.399999999999999</v>
      </c>
      <c r="I72" s="5"/>
      <c r="J72" s="5"/>
      <c r="K72" s="40"/>
      <c r="L72" s="5"/>
      <c r="AA72" s="7">
        <f>SUM(H23:H48)</f>
        <v>149.6</v>
      </c>
    </row>
    <row r="73" spans="1:27" ht="15.45" x14ac:dyDescent="0.4">
      <c r="A73" s="54" t="s">
        <v>12</v>
      </c>
      <c r="B73" s="68"/>
      <c r="C73" s="30"/>
      <c r="D73" s="67" t="s">
        <v>81</v>
      </c>
      <c r="E73" s="26">
        <v>0</v>
      </c>
      <c r="F73" s="61">
        <v>0</v>
      </c>
      <c r="G73" s="29">
        <f>AA94</f>
        <v>0</v>
      </c>
      <c r="H73" s="62">
        <f>AA95</f>
        <v>0</v>
      </c>
      <c r="I73" s="5"/>
      <c r="J73" s="5"/>
      <c r="K73" s="40"/>
      <c r="L73" s="5"/>
      <c r="AA73" s="6">
        <f>E54*F54</f>
        <v>14</v>
      </c>
    </row>
    <row r="74" spans="1:27" ht="15.45" x14ac:dyDescent="0.4">
      <c r="A74" s="54" t="s">
        <v>13</v>
      </c>
      <c r="B74" s="67" t="s">
        <v>101</v>
      </c>
      <c r="C74" s="30"/>
      <c r="D74" s="67" t="s">
        <v>81</v>
      </c>
      <c r="E74" s="26">
        <v>0</v>
      </c>
      <c r="F74" s="61">
        <v>0</v>
      </c>
      <c r="G74" s="29">
        <f>AA96</f>
        <v>0</v>
      </c>
      <c r="H74" s="62">
        <f>AA97</f>
        <v>0</v>
      </c>
      <c r="I74" s="5"/>
      <c r="J74" s="5"/>
      <c r="K74" s="40"/>
      <c r="L74" s="5"/>
      <c r="AA74" s="6">
        <f>G54*D4</f>
        <v>14</v>
      </c>
    </row>
    <row r="75" spans="1:27" ht="15.45" x14ac:dyDescent="0.4">
      <c r="A75" s="54" t="s">
        <v>14</v>
      </c>
      <c r="B75" s="68" t="s">
        <v>102</v>
      </c>
      <c r="C75" s="30"/>
      <c r="D75" s="67" t="s">
        <v>81</v>
      </c>
      <c r="E75" s="26">
        <v>0</v>
      </c>
      <c r="F75" s="61">
        <v>0</v>
      </c>
      <c r="G75" s="29">
        <f>AA98</f>
        <v>0</v>
      </c>
      <c r="H75" s="62">
        <f>AA99</f>
        <v>0</v>
      </c>
      <c r="I75" s="5"/>
      <c r="J75" s="40"/>
      <c r="K75" s="40"/>
      <c r="L75" s="5"/>
      <c r="AA75" s="6">
        <f>E55*F55</f>
        <v>7</v>
      </c>
    </row>
    <row r="76" spans="1:27" ht="15.45" x14ac:dyDescent="0.4">
      <c r="A76" s="54" t="s">
        <v>82</v>
      </c>
      <c r="B76" s="64"/>
      <c r="C76" s="30"/>
      <c r="D76" s="67" t="s">
        <v>72</v>
      </c>
      <c r="E76" s="26">
        <v>0</v>
      </c>
      <c r="F76" s="26">
        <v>0</v>
      </c>
      <c r="G76" s="29">
        <f>AA100</f>
        <v>0</v>
      </c>
      <c r="H76" s="62">
        <f>AA101</f>
        <v>0</v>
      </c>
      <c r="I76" s="5"/>
      <c r="J76" s="40"/>
      <c r="K76" s="40"/>
      <c r="L76" s="5"/>
      <c r="AA76" s="6">
        <f>G55*D4</f>
        <v>7</v>
      </c>
    </row>
    <row r="77" spans="1:27" ht="15.45" x14ac:dyDescent="0.4">
      <c r="A77" s="21"/>
      <c r="B77" s="13"/>
      <c r="C77" s="18"/>
      <c r="D77" s="23" t="s">
        <v>65</v>
      </c>
      <c r="E77" s="23" t="s">
        <v>66</v>
      </c>
      <c r="F77" s="23" t="s">
        <v>67</v>
      </c>
      <c r="G77" s="23" t="s">
        <v>68</v>
      </c>
      <c r="H77" s="53" t="s">
        <v>69</v>
      </c>
      <c r="I77" s="5"/>
      <c r="J77" s="40"/>
      <c r="K77" s="40"/>
      <c r="L77" s="5"/>
      <c r="AA77" s="6">
        <f>E56*F56</f>
        <v>0</v>
      </c>
    </row>
    <row r="78" spans="1:27" ht="15.45" x14ac:dyDescent="0.4">
      <c r="A78" s="54" t="s">
        <v>103</v>
      </c>
      <c r="B78" s="18"/>
      <c r="C78" s="13"/>
      <c r="D78" s="55" t="s">
        <v>0</v>
      </c>
      <c r="E78" s="55" t="s">
        <v>1</v>
      </c>
      <c r="F78" s="55" t="s">
        <v>2</v>
      </c>
      <c r="G78" s="55" t="s">
        <v>3</v>
      </c>
      <c r="H78" s="56" t="s">
        <v>3</v>
      </c>
      <c r="I78" s="5"/>
      <c r="J78" s="40"/>
      <c r="K78" s="40"/>
      <c r="L78" s="5"/>
      <c r="AA78" s="6">
        <f>G56*D4</f>
        <v>0</v>
      </c>
    </row>
    <row r="79" spans="1:27" ht="15.45" x14ac:dyDescent="0.4">
      <c r="A79" s="54" t="s">
        <v>21</v>
      </c>
      <c r="B79" s="18"/>
      <c r="C79" s="18"/>
      <c r="D79" s="13"/>
      <c r="E79" s="13"/>
      <c r="F79" s="13"/>
      <c r="G79" s="13"/>
      <c r="H79" s="27"/>
      <c r="I79" s="5"/>
      <c r="J79" s="5"/>
      <c r="K79" s="5"/>
      <c r="L79" s="5"/>
      <c r="AA79" s="6">
        <f>E57*F57</f>
        <v>650</v>
      </c>
    </row>
    <row r="80" spans="1:27" ht="15.45" x14ac:dyDescent="0.4">
      <c r="A80" s="54" t="s">
        <v>7</v>
      </c>
      <c r="B80" s="68" t="s">
        <v>104</v>
      </c>
      <c r="C80" s="31"/>
      <c r="D80" s="67" t="s">
        <v>19</v>
      </c>
      <c r="E80" s="26">
        <v>1</v>
      </c>
      <c r="F80" s="28">
        <v>457</v>
      </c>
      <c r="G80" s="29">
        <f>AA102</f>
        <v>457</v>
      </c>
      <c r="H80" s="62">
        <f>AA103</f>
        <v>457</v>
      </c>
      <c r="I80" s="5"/>
      <c r="J80" s="5"/>
      <c r="K80" s="40"/>
      <c r="L80" s="5"/>
      <c r="AA80" s="6">
        <f>G57*D4</f>
        <v>650</v>
      </c>
    </row>
    <row r="81" spans="1:27" ht="15.45" x14ac:dyDescent="0.4">
      <c r="A81" s="54" t="s">
        <v>10</v>
      </c>
      <c r="B81" s="77" t="s">
        <v>105</v>
      </c>
      <c r="C81" s="31"/>
      <c r="D81" s="67" t="s">
        <v>81</v>
      </c>
      <c r="E81" s="26">
        <v>0</v>
      </c>
      <c r="F81" s="28">
        <v>0</v>
      </c>
      <c r="G81" s="29">
        <f>AA104</f>
        <v>0</v>
      </c>
      <c r="H81" s="62">
        <f>AA105</f>
        <v>0</v>
      </c>
      <c r="I81" s="5"/>
      <c r="J81" s="5"/>
      <c r="K81" s="40"/>
      <c r="L81" s="5"/>
      <c r="AA81" s="7">
        <f>SUM(H54:H57)</f>
        <v>671</v>
      </c>
    </row>
    <row r="82" spans="1:27" ht="15.45" x14ac:dyDescent="0.4">
      <c r="A82" s="54" t="s">
        <v>106</v>
      </c>
      <c r="B82" s="34"/>
      <c r="C82" s="30"/>
      <c r="D82" s="30"/>
      <c r="E82" s="48"/>
      <c r="F82" s="48"/>
      <c r="G82" s="48"/>
      <c r="H82" s="43"/>
      <c r="I82" s="71"/>
      <c r="J82" s="5"/>
      <c r="K82" s="40"/>
      <c r="L82" s="5"/>
      <c r="AA82" s="7">
        <f>H51+H59</f>
        <v>820.6</v>
      </c>
    </row>
    <row r="83" spans="1:27" ht="15.45" x14ac:dyDescent="0.4">
      <c r="A83" s="54" t="s">
        <v>7</v>
      </c>
      <c r="B83" s="68" t="s">
        <v>104</v>
      </c>
      <c r="C83" s="31"/>
      <c r="D83" s="67" t="s">
        <v>19</v>
      </c>
      <c r="E83" s="26">
        <v>1</v>
      </c>
      <c r="F83" s="28">
        <v>114</v>
      </c>
      <c r="G83" s="29">
        <f>AA106</f>
        <v>114</v>
      </c>
      <c r="H83" s="62">
        <f>AA107</f>
        <v>114</v>
      </c>
      <c r="I83" s="71"/>
      <c r="J83" s="5"/>
      <c r="K83" s="40"/>
      <c r="L83" s="5"/>
      <c r="AA83" s="6">
        <f>H65/D4</f>
        <v>401.0915037783376</v>
      </c>
    </row>
    <row r="84" spans="1:27" ht="15.45" x14ac:dyDescent="0.4">
      <c r="A84" s="54" t="s">
        <v>10</v>
      </c>
      <c r="B84" s="68" t="s">
        <v>22</v>
      </c>
      <c r="C84" s="31"/>
      <c r="D84" s="67" t="s">
        <v>81</v>
      </c>
      <c r="E84" s="26">
        <v>0</v>
      </c>
      <c r="F84" s="28">
        <v>0</v>
      </c>
      <c r="G84" s="29">
        <f>AA108</f>
        <v>0</v>
      </c>
      <c r="H84" s="62">
        <f>AA109</f>
        <v>0</v>
      </c>
      <c r="I84" s="71"/>
      <c r="J84" s="5"/>
      <c r="K84" s="40"/>
      <c r="L84" s="5"/>
      <c r="AA84" s="6">
        <f>IF(F65&gt;0,F65,PMT(H13-H14,H12,-H61))</f>
        <v>401.0915037783376</v>
      </c>
    </row>
    <row r="85" spans="1:27" ht="15.45" x14ac:dyDescent="0.4">
      <c r="A85" s="54" t="s">
        <v>107</v>
      </c>
      <c r="B85" s="34"/>
      <c r="C85" s="78"/>
      <c r="D85" s="30"/>
      <c r="E85" s="48"/>
      <c r="F85" s="48"/>
      <c r="G85" s="48"/>
      <c r="H85" s="43"/>
      <c r="I85" s="71"/>
      <c r="J85" s="5"/>
      <c r="K85" s="40"/>
      <c r="L85" s="5"/>
      <c r="AA85" s="6" t="str">
        <f>" -OR- Amortized over "&amp;FIXED(H12,0,TRUE)&amp;" years (Leave Dir. Entry at 0)"</f>
        <v xml:space="preserve"> -OR- Amortized over 2 years (Leave Dir. Entry at 0)</v>
      </c>
    </row>
    <row r="86" spans="1:27" ht="15.45" x14ac:dyDescent="0.4">
      <c r="A86" s="54" t="s">
        <v>7</v>
      </c>
      <c r="B86" s="68" t="s">
        <v>104</v>
      </c>
      <c r="C86" s="30"/>
      <c r="D86" s="67" t="s">
        <v>19</v>
      </c>
      <c r="E86" s="26">
        <v>1</v>
      </c>
      <c r="F86" s="28">
        <v>1242</v>
      </c>
      <c r="G86" s="29">
        <f>AA110</f>
        <v>1242</v>
      </c>
      <c r="H86" s="62">
        <f>AA111</f>
        <v>1242</v>
      </c>
      <c r="I86" s="5"/>
      <c r="J86" s="5"/>
      <c r="K86" s="40"/>
      <c r="L86" s="5"/>
      <c r="AA86" s="6">
        <f>F68*E68</f>
        <v>8251.6</v>
      </c>
    </row>
    <row r="87" spans="1:27" ht="15.45" x14ac:dyDescent="0.4">
      <c r="A87" s="54" t="s">
        <v>10</v>
      </c>
      <c r="B87" s="68" t="s">
        <v>22</v>
      </c>
      <c r="C87" s="78"/>
      <c r="D87" s="67" t="s">
        <v>81</v>
      </c>
      <c r="E87" s="26">
        <v>0</v>
      </c>
      <c r="F87" s="28">
        <v>0</v>
      </c>
      <c r="G87" s="29">
        <f>AA112</f>
        <v>0</v>
      </c>
      <c r="H87" s="62">
        <f>AA113</f>
        <v>0</v>
      </c>
      <c r="I87" s="71"/>
      <c r="J87" s="71"/>
      <c r="K87" s="40"/>
      <c r="L87" s="5"/>
      <c r="AA87" s="6">
        <f>G68*D4</f>
        <v>8251.6</v>
      </c>
    </row>
    <row r="88" spans="1:27" ht="15.45" x14ac:dyDescent="0.4">
      <c r="A88" s="54" t="s">
        <v>23</v>
      </c>
      <c r="B88" s="34"/>
      <c r="C88" s="30"/>
      <c r="D88" s="30"/>
      <c r="E88" s="48"/>
      <c r="F88" s="48"/>
      <c r="G88" s="48"/>
      <c r="H88" s="43"/>
      <c r="I88" s="71"/>
      <c r="J88" s="71"/>
      <c r="K88" s="5"/>
      <c r="L88" s="5"/>
      <c r="AA88" s="6">
        <f>F69*E69</f>
        <v>277.2</v>
      </c>
    </row>
    <row r="89" spans="1:27" ht="15.45" x14ac:dyDescent="0.4">
      <c r="A89" s="54" t="s">
        <v>7</v>
      </c>
      <c r="B89" s="68" t="s">
        <v>104</v>
      </c>
      <c r="C89" s="30"/>
      <c r="D89" s="67" t="s">
        <v>19</v>
      </c>
      <c r="E89" s="26">
        <v>1</v>
      </c>
      <c r="F89" s="28">
        <v>46</v>
      </c>
      <c r="G89" s="29">
        <f>AA114</f>
        <v>46</v>
      </c>
      <c r="H89" s="62">
        <f>AA115</f>
        <v>46</v>
      </c>
      <c r="I89" s="71"/>
      <c r="J89" s="71"/>
      <c r="K89" s="5"/>
      <c r="L89" s="5"/>
      <c r="AA89" s="6">
        <f>G69*D4</f>
        <v>277.2</v>
      </c>
    </row>
    <row r="90" spans="1:27" ht="15.45" x14ac:dyDescent="0.4">
      <c r="A90" s="54" t="s">
        <v>10</v>
      </c>
      <c r="B90" s="77" t="s">
        <v>105</v>
      </c>
      <c r="C90" s="31"/>
      <c r="D90" s="67" t="s">
        <v>81</v>
      </c>
      <c r="E90" s="26">
        <v>0</v>
      </c>
      <c r="F90" s="28">
        <v>0</v>
      </c>
      <c r="G90" s="29">
        <f>AA116</f>
        <v>0</v>
      </c>
      <c r="H90" s="62">
        <f>AA117</f>
        <v>0</v>
      </c>
      <c r="I90" s="71"/>
      <c r="J90" s="71"/>
      <c r="K90" s="5"/>
      <c r="L90" s="5"/>
      <c r="AA90" s="6">
        <f>F71*E71</f>
        <v>91.5</v>
      </c>
    </row>
    <row r="91" spans="1:27" ht="15.45" x14ac:dyDescent="0.4">
      <c r="A91" s="21"/>
      <c r="B91" s="18"/>
      <c r="C91" s="48"/>
      <c r="D91" s="23" t="s">
        <v>65</v>
      </c>
      <c r="E91" s="23" t="s">
        <v>66</v>
      </c>
      <c r="F91" s="23" t="s">
        <v>67</v>
      </c>
      <c r="G91" s="23" t="s">
        <v>68</v>
      </c>
      <c r="H91" s="53" t="s">
        <v>69</v>
      </c>
      <c r="I91" s="71"/>
      <c r="J91" s="5"/>
      <c r="K91" s="5"/>
      <c r="L91" s="5"/>
      <c r="AA91" s="6">
        <f>G71*D4</f>
        <v>91.5</v>
      </c>
    </row>
    <row r="92" spans="1:27" ht="15.45" x14ac:dyDescent="0.4">
      <c r="A92" s="54" t="s">
        <v>108</v>
      </c>
      <c r="B92" s="18"/>
      <c r="C92" s="48"/>
      <c r="D92" s="55" t="s">
        <v>0</v>
      </c>
      <c r="E92" s="55" t="s">
        <v>1</v>
      </c>
      <c r="F92" s="55" t="s">
        <v>2</v>
      </c>
      <c r="G92" s="55" t="s">
        <v>3</v>
      </c>
      <c r="H92" s="56" t="s">
        <v>3</v>
      </c>
      <c r="I92" s="71"/>
      <c r="J92" s="5"/>
      <c r="K92" s="5"/>
      <c r="L92" s="5"/>
      <c r="AA92" s="6">
        <f>F72*E72</f>
        <v>17.399999999999999</v>
      </c>
    </row>
    <row r="93" spans="1:27" ht="15.45" x14ac:dyDescent="0.4">
      <c r="A93" s="72" t="s">
        <v>109</v>
      </c>
      <c r="B93" s="13"/>
      <c r="C93" s="13"/>
      <c r="D93" s="70" t="s">
        <v>72</v>
      </c>
      <c r="E93" s="26">
        <v>2</v>
      </c>
      <c r="F93" s="28">
        <v>180</v>
      </c>
      <c r="G93" s="29">
        <f>AA118</f>
        <v>360</v>
      </c>
      <c r="H93" s="62">
        <f>AA119</f>
        <v>360</v>
      </c>
      <c r="I93" s="71"/>
      <c r="J93" s="71"/>
      <c r="K93" s="40"/>
      <c r="L93" s="5"/>
      <c r="AA93" s="6">
        <f>G72*D4</f>
        <v>17.399999999999999</v>
      </c>
    </row>
    <row r="94" spans="1:27" ht="15.45" x14ac:dyDescent="0.4">
      <c r="A94" s="59" t="s">
        <v>110</v>
      </c>
      <c r="B94" s="30"/>
      <c r="C94" s="31"/>
      <c r="D94" s="76" t="s">
        <v>111</v>
      </c>
      <c r="E94" s="55">
        <f>AA120</f>
        <v>1</v>
      </c>
      <c r="F94" s="79">
        <f>AA121</f>
        <v>1213</v>
      </c>
      <c r="G94" s="29">
        <f>AA122</f>
        <v>1213</v>
      </c>
      <c r="H94" s="62">
        <f>AA123</f>
        <v>1213</v>
      </c>
      <c r="I94" s="71"/>
      <c r="J94" s="71"/>
      <c r="K94" s="40"/>
      <c r="L94" s="5"/>
      <c r="AA94" s="6">
        <f>F73*E73</f>
        <v>0</v>
      </c>
    </row>
    <row r="95" spans="1:27" ht="15.45" x14ac:dyDescent="0.4">
      <c r="A95" s="25" t="s">
        <v>112</v>
      </c>
      <c r="B95" s="18"/>
      <c r="C95" s="13"/>
      <c r="D95" s="70" t="s">
        <v>19</v>
      </c>
      <c r="E95" s="26">
        <v>1</v>
      </c>
      <c r="F95" s="28">
        <v>235</v>
      </c>
      <c r="G95" s="29">
        <f>AA124</f>
        <v>235</v>
      </c>
      <c r="H95" s="62">
        <f>AA125</f>
        <v>235</v>
      </c>
      <c r="I95" s="71"/>
      <c r="J95" s="71"/>
      <c r="K95" s="40"/>
      <c r="L95" s="5"/>
      <c r="AA95" s="6">
        <f>G73*D4</f>
        <v>0</v>
      </c>
    </row>
    <row r="96" spans="1:27" ht="15.45" x14ac:dyDescent="0.4">
      <c r="A96" s="25" t="s">
        <v>24</v>
      </c>
      <c r="B96" s="18"/>
      <c r="C96" s="48"/>
      <c r="D96" s="70" t="s">
        <v>19</v>
      </c>
      <c r="E96" s="26">
        <v>1</v>
      </c>
      <c r="F96" s="28">
        <v>1073</v>
      </c>
      <c r="G96" s="29">
        <f>AA126</f>
        <v>1073</v>
      </c>
      <c r="H96" s="62">
        <f>AA127</f>
        <v>1073</v>
      </c>
      <c r="I96" s="71"/>
      <c r="J96" s="71"/>
      <c r="K96" s="40"/>
      <c r="L96" s="5"/>
      <c r="AA96" s="6">
        <f>F74*E74</f>
        <v>0</v>
      </c>
    </row>
    <row r="97" spans="1:27" ht="15.45" x14ac:dyDescent="0.4">
      <c r="A97" s="130" t="s">
        <v>183</v>
      </c>
      <c r="B97" s="18"/>
      <c r="C97" s="48"/>
      <c r="D97" s="70" t="s">
        <v>19</v>
      </c>
      <c r="E97" s="26">
        <v>1</v>
      </c>
      <c r="F97" s="28">
        <v>296</v>
      </c>
      <c r="G97" s="29">
        <f>AA128</f>
        <v>296</v>
      </c>
      <c r="H97" s="62">
        <f>AA129</f>
        <v>296</v>
      </c>
      <c r="I97" s="71"/>
      <c r="J97" s="71"/>
      <c r="K97" s="5"/>
      <c r="L97" s="5"/>
      <c r="AA97" s="6">
        <f>G74*D4</f>
        <v>0</v>
      </c>
    </row>
    <row r="98" spans="1:27" ht="15.45" x14ac:dyDescent="0.4">
      <c r="A98" s="59" t="s">
        <v>113</v>
      </c>
      <c r="B98" s="18"/>
      <c r="C98" s="13"/>
      <c r="D98" s="18"/>
      <c r="E98" s="18"/>
      <c r="F98" s="36"/>
      <c r="G98" s="48"/>
      <c r="H98" s="43"/>
      <c r="I98" s="71"/>
      <c r="J98" s="71"/>
      <c r="K98" s="5"/>
      <c r="L98" s="5"/>
      <c r="AA98" s="6">
        <f>F75*E75</f>
        <v>0</v>
      </c>
    </row>
    <row r="99" spans="1:27" ht="15.45" x14ac:dyDescent="0.4">
      <c r="A99" s="80" t="s">
        <v>114</v>
      </c>
      <c r="B99" s="18"/>
      <c r="C99" s="13"/>
      <c r="D99" s="70" t="s">
        <v>19</v>
      </c>
      <c r="E99" s="26">
        <v>1</v>
      </c>
      <c r="F99" s="28">
        <v>105</v>
      </c>
      <c r="G99" s="29">
        <f>AA130</f>
        <v>105</v>
      </c>
      <c r="H99" s="62">
        <f>AA131</f>
        <v>105</v>
      </c>
      <c r="I99" s="71"/>
      <c r="J99" s="71"/>
      <c r="K99" s="5"/>
      <c r="L99" s="5"/>
      <c r="AA99" s="6">
        <f>G75*D4</f>
        <v>0</v>
      </c>
    </row>
    <row r="100" spans="1:27" ht="15.45" x14ac:dyDescent="0.4">
      <c r="A100" s="80" t="s">
        <v>115</v>
      </c>
      <c r="B100" s="18"/>
      <c r="C100" s="18"/>
      <c r="D100" s="70" t="s">
        <v>6</v>
      </c>
      <c r="E100" s="26">
        <v>1</v>
      </c>
      <c r="F100" s="28">
        <v>3996</v>
      </c>
      <c r="G100" s="29">
        <f>AA133</f>
        <v>3996</v>
      </c>
      <c r="H100" s="62">
        <f>AA134</f>
        <v>3996</v>
      </c>
      <c r="I100" s="71"/>
      <c r="J100" s="5"/>
      <c r="K100" s="5"/>
      <c r="L100" s="5"/>
      <c r="AA100" s="6">
        <f>F76*E76</f>
        <v>0</v>
      </c>
    </row>
    <row r="101" spans="1:27" ht="15.45" x14ac:dyDescent="0.4">
      <c r="A101" s="15"/>
      <c r="B101" s="13"/>
      <c r="C101" s="13"/>
      <c r="D101" s="13"/>
      <c r="E101" s="13"/>
      <c r="F101" s="13"/>
      <c r="G101" s="13"/>
      <c r="H101" s="27"/>
      <c r="I101" s="71"/>
      <c r="J101" s="5"/>
      <c r="K101" s="5"/>
      <c r="L101" s="5"/>
      <c r="AA101" s="6">
        <f>G76*D4</f>
        <v>0</v>
      </c>
    </row>
    <row r="102" spans="1:27" ht="15.45" x14ac:dyDescent="0.4">
      <c r="A102" s="21"/>
      <c r="B102" s="18"/>
      <c r="C102" s="48"/>
      <c r="D102" s="23" t="s">
        <v>116</v>
      </c>
      <c r="E102" s="75" t="s">
        <v>117</v>
      </c>
      <c r="F102" s="81"/>
      <c r="G102" s="81"/>
      <c r="H102" s="82"/>
      <c r="I102" s="71"/>
      <c r="J102" s="71"/>
      <c r="K102" s="5"/>
      <c r="L102" s="5"/>
      <c r="AA102" s="6">
        <f>F80*E80</f>
        <v>457</v>
      </c>
    </row>
    <row r="103" spans="1:27" ht="15.45" x14ac:dyDescent="0.4">
      <c r="A103" s="15"/>
      <c r="B103" s="18"/>
      <c r="C103" s="48"/>
      <c r="D103" s="23" t="s">
        <v>118</v>
      </c>
      <c r="E103" s="75" t="s">
        <v>119</v>
      </c>
      <c r="F103" s="46"/>
      <c r="G103" s="23" t="s">
        <v>68</v>
      </c>
      <c r="H103" s="53" t="s">
        <v>69</v>
      </c>
      <c r="I103" s="71"/>
      <c r="J103" s="71"/>
      <c r="K103" s="5"/>
      <c r="L103" s="5"/>
      <c r="AA103" s="6">
        <f>G80*D4</f>
        <v>457</v>
      </c>
    </row>
    <row r="104" spans="1:27" ht="15.45" x14ac:dyDescent="0.4">
      <c r="A104" s="83" t="s">
        <v>120</v>
      </c>
      <c r="B104" s="13"/>
      <c r="C104" s="48"/>
      <c r="D104" s="26">
        <v>482</v>
      </c>
      <c r="E104" s="75">
        <f ca="1">AA135</f>
        <v>0</v>
      </c>
      <c r="F104" s="36"/>
      <c r="G104" s="29">
        <f ca="1">AA136</f>
        <v>482</v>
      </c>
      <c r="H104" s="62">
        <f ca="1">AA137</f>
        <v>482</v>
      </c>
      <c r="I104" s="71"/>
      <c r="J104" s="71"/>
      <c r="K104" s="5"/>
      <c r="L104" s="5"/>
      <c r="AA104" s="6">
        <f>F81*E81</f>
        <v>0</v>
      </c>
    </row>
    <row r="105" spans="1:27" ht="15.45" x14ac:dyDescent="0.4">
      <c r="A105" s="83" t="s">
        <v>121</v>
      </c>
      <c r="B105" s="13"/>
      <c r="C105" s="48"/>
      <c r="D105" s="26">
        <v>172.5</v>
      </c>
      <c r="E105" s="75">
        <f ca="1">AA138</f>
        <v>0</v>
      </c>
      <c r="F105" s="36"/>
      <c r="G105" s="29">
        <f ca="1">AA139</f>
        <v>172.5</v>
      </c>
      <c r="H105" s="62">
        <f ca="1">AA140</f>
        <v>172.5</v>
      </c>
      <c r="I105" s="71"/>
      <c r="J105" s="71"/>
      <c r="K105" s="5"/>
      <c r="L105" s="5"/>
      <c r="AA105" s="6">
        <f>G81*D4</f>
        <v>0</v>
      </c>
    </row>
    <row r="106" spans="1:27" ht="15.45" x14ac:dyDescent="0.4">
      <c r="A106" s="83" t="s">
        <v>122</v>
      </c>
      <c r="B106" s="18"/>
      <c r="C106" s="48"/>
      <c r="D106" s="26">
        <v>0</v>
      </c>
      <c r="E106" s="75">
        <f ca="1">AA141</f>
        <v>0</v>
      </c>
      <c r="F106" s="36"/>
      <c r="G106" s="29">
        <f ca="1">AA142</f>
        <v>0</v>
      </c>
      <c r="H106" s="62">
        <f ca="1">AA143</f>
        <v>0</v>
      </c>
      <c r="I106" s="71"/>
      <c r="J106" s="5"/>
      <c r="K106" s="5"/>
      <c r="L106" s="5"/>
      <c r="AA106" s="6">
        <f>F83*E83</f>
        <v>114</v>
      </c>
    </row>
    <row r="107" spans="1:27" ht="15.45" x14ac:dyDescent="0.4">
      <c r="A107" s="83" t="s">
        <v>123</v>
      </c>
      <c r="B107" s="18"/>
      <c r="C107" s="48"/>
      <c r="D107" s="26">
        <v>0</v>
      </c>
      <c r="E107" s="75">
        <f ca="1">AA144</f>
        <v>0</v>
      </c>
      <c r="F107" s="36"/>
      <c r="G107" s="29">
        <f ca="1">AA145</f>
        <v>0</v>
      </c>
      <c r="H107" s="62">
        <f ca="1">AA146</f>
        <v>0</v>
      </c>
      <c r="I107" s="71"/>
      <c r="J107" s="5"/>
      <c r="K107" s="5"/>
      <c r="L107" s="5"/>
      <c r="AA107" s="6">
        <f>G83*D4</f>
        <v>114</v>
      </c>
    </row>
    <row r="108" spans="1:27" ht="15.45" x14ac:dyDescent="0.4">
      <c r="A108" s="83" t="s">
        <v>124</v>
      </c>
      <c r="B108" s="18"/>
      <c r="C108" s="48"/>
      <c r="D108" s="26">
        <v>83</v>
      </c>
      <c r="E108" s="75">
        <f ca="1">AA147</f>
        <v>0</v>
      </c>
      <c r="F108" s="18"/>
      <c r="G108" s="29">
        <f ca="1">AA148</f>
        <v>83</v>
      </c>
      <c r="H108" s="62">
        <f ca="1">AA149</f>
        <v>83</v>
      </c>
      <c r="I108" s="71"/>
      <c r="J108" s="5"/>
      <c r="K108" s="5"/>
      <c r="L108" s="5"/>
      <c r="AA108" s="6">
        <f>F84*E84</f>
        <v>0</v>
      </c>
    </row>
    <row r="109" spans="1:27" ht="15.45" x14ac:dyDescent="0.4">
      <c r="A109" s="83" t="s">
        <v>125</v>
      </c>
      <c r="B109" s="13"/>
      <c r="C109" s="23" t="s">
        <v>127</v>
      </c>
      <c r="D109" s="23" t="s">
        <v>128</v>
      </c>
      <c r="E109" s="75"/>
      <c r="F109" s="36"/>
      <c r="G109" s="48"/>
      <c r="H109" s="84"/>
      <c r="I109" s="71"/>
      <c r="J109" s="71"/>
      <c r="K109" s="5"/>
      <c r="L109" s="5"/>
      <c r="AA109" s="6">
        <f>G84*D4</f>
        <v>0</v>
      </c>
    </row>
    <row r="110" spans="1:27" ht="15.45" x14ac:dyDescent="0.4">
      <c r="A110" s="83" t="s">
        <v>126</v>
      </c>
      <c r="B110" s="18"/>
      <c r="C110" s="26">
        <v>3.7</v>
      </c>
      <c r="D110" s="26">
        <v>50</v>
      </c>
      <c r="E110" s="75">
        <f ca="1">AA150</f>
        <v>0</v>
      </c>
      <c r="F110" s="13"/>
      <c r="G110" s="29">
        <f ca="1">AA151</f>
        <v>342</v>
      </c>
      <c r="H110" s="62">
        <f ca="1">AA152</f>
        <v>342</v>
      </c>
      <c r="I110" s="71"/>
      <c r="J110" s="71"/>
      <c r="K110" s="5"/>
      <c r="L110" s="5"/>
      <c r="AA110" s="6">
        <f>F86*E86</f>
        <v>1242</v>
      </c>
    </row>
    <row r="111" spans="1:27" ht="15.45" x14ac:dyDescent="0.4">
      <c r="A111" s="21"/>
      <c r="B111" s="18"/>
      <c r="C111" s="18"/>
      <c r="D111" s="18"/>
      <c r="E111" s="75"/>
      <c r="F111" s="36"/>
      <c r="G111" s="55" t="s">
        <v>3</v>
      </c>
      <c r="H111" s="56" t="s">
        <v>3</v>
      </c>
      <c r="I111" s="71"/>
      <c r="J111" s="71"/>
      <c r="K111" s="40"/>
      <c r="L111" s="5"/>
      <c r="AA111" s="6">
        <f>G86*D4</f>
        <v>1242</v>
      </c>
    </row>
    <row r="112" spans="1:27" ht="15.45" x14ac:dyDescent="0.4">
      <c r="A112" s="83" t="s">
        <v>129</v>
      </c>
      <c r="B112" s="18"/>
      <c r="C112" s="18"/>
      <c r="D112" s="18"/>
      <c r="E112" s="75"/>
      <c r="F112" s="18"/>
      <c r="G112" s="29">
        <f ca="1">AA153</f>
        <v>25152.791503778339</v>
      </c>
      <c r="H112" s="62">
        <f ca="1">AA154</f>
        <v>25152.791503778339</v>
      </c>
      <c r="I112" s="71"/>
      <c r="J112" s="71"/>
      <c r="K112" s="40"/>
      <c r="L112" s="5"/>
      <c r="AA112" s="6">
        <f>F87*E87</f>
        <v>0</v>
      </c>
    </row>
    <row r="113" spans="1:27" ht="15.45" x14ac:dyDescent="0.4">
      <c r="A113" s="85"/>
      <c r="B113" s="18"/>
      <c r="C113" s="48"/>
      <c r="D113" s="23" t="s">
        <v>116</v>
      </c>
      <c r="E113" s="75" t="s">
        <v>117</v>
      </c>
      <c r="F113" s="81"/>
      <c r="G113" s="81"/>
      <c r="H113" s="82"/>
      <c r="I113" s="71"/>
      <c r="J113" s="71"/>
      <c r="K113" s="58" t="s">
        <v>25</v>
      </c>
      <c r="L113" s="5"/>
      <c r="AA113" s="6">
        <f>G87*D4</f>
        <v>0</v>
      </c>
    </row>
    <row r="114" spans="1:27" ht="15.45" x14ac:dyDescent="0.4">
      <c r="A114" s="83" t="s">
        <v>91</v>
      </c>
      <c r="B114" s="13"/>
      <c r="C114" s="48"/>
      <c r="D114" s="23" t="s">
        <v>118</v>
      </c>
      <c r="E114" s="75" t="s">
        <v>119</v>
      </c>
      <c r="F114" s="46"/>
      <c r="G114" s="23" t="s">
        <v>68</v>
      </c>
      <c r="H114" s="53" t="s">
        <v>69</v>
      </c>
      <c r="I114" s="71"/>
      <c r="J114" s="5"/>
      <c r="K114" s="58" t="s">
        <v>26</v>
      </c>
      <c r="L114" s="5"/>
      <c r="AA114" s="6">
        <f>F89*E89</f>
        <v>46</v>
      </c>
    </row>
    <row r="115" spans="1:27" ht="15.45" x14ac:dyDescent="0.4">
      <c r="A115" s="83" t="s">
        <v>130</v>
      </c>
      <c r="B115" s="13"/>
      <c r="C115" s="48"/>
      <c r="D115" s="26">
        <v>336</v>
      </c>
      <c r="E115" s="75">
        <f ca="1">AA155</f>
        <v>0</v>
      </c>
      <c r="F115" s="36"/>
      <c r="G115" s="29">
        <f ca="1">AA156</f>
        <v>336</v>
      </c>
      <c r="H115" s="62">
        <f ca="1">AA157</f>
        <v>336</v>
      </c>
      <c r="I115" s="71"/>
      <c r="J115" s="5"/>
      <c r="K115" s="58" t="s">
        <v>27</v>
      </c>
      <c r="L115" s="5"/>
      <c r="AA115" s="6">
        <f>G89*D4</f>
        <v>46</v>
      </c>
    </row>
    <row r="116" spans="1:27" ht="15.45" x14ac:dyDescent="0.4">
      <c r="A116" s="83" t="s">
        <v>131</v>
      </c>
      <c r="B116" s="13"/>
      <c r="C116" s="13"/>
      <c r="D116" s="26">
        <v>137</v>
      </c>
      <c r="E116" s="75">
        <f ca="1">AA158</f>
        <v>0</v>
      </c>
      <c r="F116" s="18"/>
      <c r="G116" s="29">
        <f ca="1">AA159</f>
        <v>137</v>
      </c>
      <c r="H116" s="62">
        <f ca="1">AA160</f>
        <v>137</v>
      </c>
      <c r="I116" s="71"/>
      <c r="J116" s="71"/>
      <c r="K116" s="58" t="s">
        <v>28</v>
      </c>
      <c r="L116" s="5"/>
      <c r="AA116" s="6">
        <f>F90*E90</f>
        <v>0</v>
      </c>
    </row>
    <row r="117" spans="1:27" ht="15.45" x14ac:dyDescent="0.4">
      <c r="A117" s="83" t="s">
        <v>184</v>
      </c>
      <c r="B117" s="18"/>
      <c r="C117" s="13"/>
      <c r="D117" s="26">
        <v>265</v>
      </c>
      <c r="E117" s="75">
        <f ca="1">AA161</f>
        <v>0</v>
      </c>
      <c r="F117" s="36"/>
      <c r="G117" s="29">
        <f ca="1">AA162</f>
        <v>265</v>
      </c>
      <c r="H117" s="62">
        <f ca="1">AA163</f>
        <v>265</v>
      </c>
      <c r="I117" s="71"/>
      <c r="J117" s="71"/>
      <c r="K117" s="58" t="s">
        <v>29</v>
      </c>
      <c r="L117" s="5"/>
      <c r="AA117" s="6">
        <f>G90*D4</f>
        <v>0</v>
      </c>
    </row>
    <row r="118" spans="1:27" ht="15.45" x14ac:dyDescent="0.4">
      <c r="A118" s="83" t="s">
        <v>132</v>
      </c>
      <c r="B118" s="18"/>
      <c r="C118" s="18"/>
      <c r="D118" s="26">
        <v>1300</v>
      </c>
      <c r="E118" s="75">
        <f ca="1">AA164</f>
        <v>0</v>
      </c>
      <c r="F118" s="18"/>
      <c r="G118" s="29">
        <f ca="1">AA165</f>
        <v>1300</v>
      </c>
      <c r="H118" s="62">
        <f ca="1">AA166</f>
        <v>1300</v>
      </c>
      <c r="I118" s="71"/>
      <c r="J118" s="71"/>
      <c r="K118" s="40"/>
      <c r="L118" s="5"/>
      <c r="AA118" s="6">
        <f>F93*E93</f>
        <v>360</v>
      </c>
    </row>
    <row r="119" spans="1:27" ht="15.45" x14ac:dyDescent="0.4">
      <c r="A119" s="86"/>
      <c r="B119" s="13"/>
      <c r="C119" s="13"/>
      <c r="D119" s="18"/>
      <c r="E119" s="48"/>
      <c r="F119" s="36"/>
      <c r="G119" s="55" t="s">
        <v>3</v>
      </c>
      <c r="H119" s="56" t="s">
        <v>3</v>
      </c>
      <c r="I119" s="71"/>
      <c r="J119" s="71"/>
      <c r="K119" s="40"/>
      <c r="L119" s="5"/>
      <c r="AA119" s="6">
        <f>G93*D4</f>
        <v>360</v>
      </c>
    </row>
    <row r="120" spans="1:27" ht="15.45" x14ac:dyDescent="0.4">
      <c r="A120" s="83" t="s">
        <v>133</v>
      </c>
      <c r="B120" s="13"/>
      <c r="C120" s="13"/>
      <c r="D120" s="18"/>
      <c r="E120" s="48"/>
      <c r="F120" s="36"/>
      <c r="G120" s="29">
        <f ca="1">AA167</f>
        <v>2038</v>
      </c>
      <c r="H120" s="62">
        <f ca="1">AA168</f>
        <v>2038</v>
      </c>
      <c r="I120" s="71"/>
      <c r="J120" s="52">
        <f ca="1">AA169</f>
        <v>342</v>
      </c>
      <c r="K120" s="58" t="s">
        <v>30</v>
      </c>
      <c r="L120" s="5"/>
      <c r="AA120" s="6">
        <f>IF(UPPER(LEFT(D18,1))="O",1,0)</f>
        <v>1</v>
      </c>
    </row>
    <row r="121" spans="1:27" ht="15.45" x14ac:dyDescent="0.4">
      <c r="A121" s="87"/>
      <c r="B121" s="20"/>
      <c r="C121" s="20"/>
      <c r="D121" s="20"/>
      <c r="E121" s="20"/>
      <c r="F121" s="20"/>
      <c r="G121" s="20"/>
      <c r="H121" s="20"/>
      <c r="I121" s="71"/>
      <c r="J121" s="71"/>
      <c r="K121" s="71"/>
      <c r="L121" s="5"/>
      <c r="AA121" s="88">
        <f>D12</f>
        <v>1213</v>
      </c>
    </row>
    <row r="122" spans="1:27" ht="15.45" x14ac:dyDescent="0.4">
      <c r="A122" s="83" t="s">
        <v>134</v>
      </c>
      <c r="B122" s="13"/>
      <c r="C122" s="13"/>
      <c r="D122" s="13"/>
      <c r="E122" s="23" t="s">
        <v>68</v>
      </c>
      <c r="F122" s="23" t="s">
        <v>69</v>
      </c>
      <c r="G122" s="13"/>
      <c r="H122" s="27"/>
      <c r="I122" s="71"/>
      <c r="J122" s="71"/>
      <c r="K122" s="71"/>
      <c r="L122" s="5"/>
      <c r="AA122" s="6">
        <f>F94*E94</f>
        <v>1213</v>
      </c>
    </row>
    <row r="123" spans="1:27" ht="15.45" x14ac:dyDescent="0.4">
      <c r="A123" s="83" t="s">
        <v>135</v>
      </c>
      <c r="B123" s="13"/>
      <c r="C123" s="13"/>
      <c r="D123" s="13"/>
      <c r="E123" s="29">
        <f>AA170</f>
        <v>38559.440000000002</v>
      </c>
      <c r="F123" s="29">
        <f>AA171</f>
        <v>38559.440000000002</v>
      </c>
      <c r="G123" s="13"/>
      <c r="H123" s="27"/>
      <c r="I123" s="5"/>
      <c r="J123" s="5"/>
      <c r="K123" s="5"/>
      <c r="L123" s="5"/>
      <c r="AA123" s="6">
        <f>G94*D4</f>
        <v>1213</v>
      </c>
    </row>
    <row r="124" spans="1:27" ht="15.45" x14ac:dyDescent="0.4">
      <c r="A124" s="83"/>
      <c r="B124" s="18"/>
      <c r="C124" s="13"/>
      <c r="D124" s="18"/>
      <c r="E124" s="29"/>
      <c r="F124" s="29"/>
      <c r="G124" s="89"/>
      <c r="H124" s="84"/>
      <c r="I124" s="71"/>
      <c r="J124" s="5"/>
      <c r="K124" s="5"/>
      <c r="L124" s="5"/>
      <c r="AA124" s="6">
        <f>F95*E95</f>
        <v>235</v>
      </c>
    </row>
    <row r="125" spans="1:27" ht="15.45" x14ac:dyDescent="0.4">
      <c r="A125" s="83" t="s">
        <v>136</v>
      </c>
      <c r="B125" s="18"/>
      <c r="C125" s="13"/>
      <c r="D125" s="13"/>
      <c r="E125" s="29">
        <f ca="1">AA174</f>
        <v>25152.791503778339</v>
      </c>
      <c r="F125" s="29">
        <f ca="1">AA175</f>
        <v>25152.791503778339</v>
      </c>
      <c r="G125" s="36"/>
      <c r="H125" s="84"/>
      <c r="I125" s="71"/>
      <c r="J125" s="5"/>
      <c r="K125" s="40"/>
      <c r="L125" s="5"/>
      <c r="AA125" s="6">
        <f>G95*D4</f>
        <v>235</v>
      </c>
    </row>
    <row r="126" spans="1:27" ht="15.45" x14ac:dyDescent="0.4">
      <c r="A126" s="86"/>
      <c r="B126" s="13"/>
      <c r="C126" s="13"/>
      <c r="D126" s="13"/>
      <c r="E126" s="55" t="s">
        <v>3</v>
      </c>
      <c r="F126" s="55" t="s">
        <v>3</v>
      </c>
      <c r="G126" s="13"/>
      <c r="H126" s="84"/>
      <c r="I126" s="71"/>
      <c r="J126" s="5"/>
      <c r="K126" s="58" t="s">
        <v>31</v>
      </c>
      <c r="L126" s="5"/>
      <c r="AA126" s="6">
        <f>F96*E96</f>
        <v>1073</v>
      </c>
    </row>
    <row r="127" spans="1:27" ht="15.45" x14ac:dyDescent="0.4">
      <c r="A127" s="83" t="s">
        <v>137</v>
      </c>
      <c r="B127" s="13"/>
      <c r="C127" s="18"/>
      <c r="D127" s="13"/>
      <c r="E127" s="29">
        <f ca="1">AA176</f>
        <v>13406.648496221664</v>
      </c>
      <c r="F127" s="29">
        <f ca="1">AA177</f>
        <v>13406.648496221664</v>
      </c>
      <c r="G127" s="13"/>
      <c r="H127" s="27"/>
      <c r="I127" s="71"/>
      <c r="J127" s="5"/>
      <c r="K127" s="58" t="s">
        <v>32</v>
      </c>
      <c r="L127" s="5"/>
      <c r="AA127" s="6">
        <f>G96*D4</f>
        <v>1073</v>
      </c>
    </row>
    <row r="128" spans="1:27" ht="15.45" x14ac:dyDescent="0.4">
      <c r="A128" s="83" t="s">
        <v>138</v>
      </c>
      <c r="B128" s="13"/>
      <c r="C128" s="18"/>
      <c r="D128" s="13"/>
      <c r="E128" s="29">
        <f ca="1">AA178</f>
        <v>2038</v>
      </c>
      <c r="F128" s="29">
        <f ca="1">AA179</f>
        <v>2038</v>
      </c>
      <c r="G128" s="48"/>
      <c r="H128" s="43"/>
      <c r="I128" s="71"/>
      <c r="J128" s="5"/>
      <c r="K128" s="58" t="s">
        <v>33</v>
      </c>
      <c r="L128" s="5"/>
      <c r="AA128" s="6">
        <f>F97*E97</f>
        <v>296</v>
      </c>
    </row>
    <row r="129" spans="1:27" ht="15.45" x14ac:dyDescent="0.4">
      <c r="A129" s="86"/>
      <c r="B129" s="13"/>
      <c r="C129" s="13"/>
      <c r="D129" s="13"/>
      <c r="E129" s="55" t="s">
        <v>3</v>
      </c>
      <c r="F129" s="55" t="s">
        <v>3</v>
      </c>
      <c r="G129" s="48"/>
      <c r="H129" s="43"/>
      <c r="I129" s="71"/>
      <c r="J129" s="71"/>
      <c r="K129" s="58" t="s">
        <v>34</v>
      </c>
      <c r="L129" s="5"/>
      <c r="AA129" s="6">
        <f>G97*D4</f>
        <v>296</v>
      </c>
    </row>
    <row r="130" spans="1:27" ht="15.45" x14ac:dyDescent="0.4">
      <c r="A130" s="83" t="s">
        <v>139</v>
      </c>
      <c r="B130" s="13"/>
      <c r="C130" s="48"/>
      <c r="D130" s="13"/>
      <c r="E130" s="29">
        <f ca="1">AA180</f>
        <v>11368.648496221664</v>
      </c>
      <c r="F130" s="29">
        <f ca="1">AA181</f>
        <v>11368.648496221664</v>
      </c>
      <c r="G130" s="48"/>
      <c r="H130" s="43"/>
      <c r="I130" s="71"/>
      <c r="J130" s="71"/>
      <c r="K130" s="40"/>
      <c r="L130" s="5"/>
      <c r="AA130" s="6">
        <f>E99*F99</f>
        <v>105</v>
      </c>
    </row>
    <row r="131" spans="1:27" ht="15.45" x14ac:dyDescent="0.4">
      <c r="A131" s="63"/>
      <c r="B131" s="13"/>
      <c r="C131" s="48"/>
      <c r="D131" s="13"/>
      <c r="E131" s="13"/>
      <c r="F131" s="13"/>
      <c r="G131" s="48"/>
      <c r="H131" s="43"/>
      <c r="I131" s="5"/>
      <c r="J131" s="5"/>
      <c r="K131" s="40"/>
      <c r="L131" s="5"/>
      <c r="AA131" s="6">
        <f>G99*D4</f>
        <v>105</v>
      </c>
    </row>
    <row r="132" spans="1:27" ht="15.45" x14ac:dyDescent="0.4">
      <c r="A132" s="83" t="s">
        <v>152</v>
      </c>
      <c r="B132" s="13"/>
      <c r="C132" s="48"/>
      <c r="D132" s="13"/>
      <c r="E132" s="22" t="s">
        <v>141</v>
      </c>
      <c r="F132" s="48"/>
      <c r="G132" s="79">
        <f ca="1">AA182</f>
        <v>2.5309711716420145</v>
      </c>
      <c r="H132" s="43"/>
      <c r="I132" s="71"/>
      <c r="J132" s="71"/>
      <c r="K132" s="71"/>
      <c r="L132" s="5"/>
      <c r="AA132" s="6">
        <f>1285/6000</f>
        <v>0.21416666666666667</v>
      </c>
    </row>
    <row r="133" spans="1:27" ht="15.45" x14ac:dyDescent="0.4">
      <c r="A133" s="86" t="s">
        <v>140</v>
      </c>
      <c r="B133" s="18"/>
      <c r="C133" s="18"/>
      <c r="D133" s="18"/>
      <c r="E133" s="22" t="s">
        <v>142</v>
      </c>
      <c r="F133" s="18"/>
      <c r="G133" s="79">
        <f ca="1">AA183</f>
        <v>0.20507144294626686</v>
      </c>
      <c r="H133" s="24"/>
      <c r="I133" s="71"/>
      <c r="J133" s="71"/>
      <c r="K133" s="71"/>
      <c r="L133" s="5"/>
      <c r="AA133" s="6">
        <f>F100*E100</f>
        <v>3996</v>
      </c>
    </row>
    <row r="134" spans="1:27" ht="15.45" x14ac:dyDescent="0.4">
      <c r="A134" s="21"/>
      <c r="B134" s="13"/>
      <c r="C134" s="48"/>
      <c r="D134" s="13"/>
      <c r="E134" s="90"/>
      <c r="F134" s="36"/>
      <c r="G134" s="55" t="s">
        <v>3</v>
      </c>
      <c r="H134" s="43"/>
      <c r="I134" s="71"/>
      <c r="J134" s="71"/>
      <c r="K134" s="71"/>
      <c r="L134" s="5"/>
      <c r="AA134" s="6">
        <f>G100*D4</f>
        <v>3996</v>
      </c>
    </row>
    <row r="135" spans="1:27" ht="15.45" x14ac:dyDescent="0.4">
      <c r="A135" s="15"/>
      <c r="B135" s="13"/>
      <c r="C135" s="18"/>
      <c r="D135" s="13"/>
      <c r="E135" s="22" t="s">
        <v>143</v>
      </c>
      <c r="F135" s="36"/>
      <c r="G135" s="79">
        <f ca="1">AA184</f>
        <v>2.7360426145882815</v>
      </c>
      <c r="H135" s="43"/>
      <c r="I135" s="71"/>
      <c r="J135" s="71"/>
      <c r="K135" s="71"/>
      <c r="L135" s="5"/>
      <c r="AA135" s="6">
        <f ca="1">IF(K113=0,0,HLOOKUP(A2,INDIRECT(K22),2, FALSE)*INDIRECT(K113)*0.01)</f>
        <v>0</v>
      </c>
    </row>
    <row r="136" spans="1:27" ht="15.45" x14ac:dyDescent="0.4">
      <c r="A136" s="20"/>
      <c r="B136" s="20"/>
      <c r="C136" s="20"/>
      <c r="D136" s="20"/>
      <c r="E136" s="20"/>
      <c r="F136" s="20"/>
      <c r="G136" s="20"/>
      <c r="H136" s="20"/>
      <c r="I136" s="71"/>
      <c r="J136" s="71"/>
      <c r="K136" s="71"/>
      <c r="L136" s="5"/>
      <c r="AA136" s="6">
        <f ca="1">H104/D4</f>
        <v>482</v>
      </c>
    </row>
    <row r="137" spans="1:27" ht="15.45" x14ac:dyDescent="0.4">
      <c r="A137" s="15"/>
      <c r="B137" s="22" t="s">
        <v>144</v>
      </c>
      <c r="C137" s="46"/>
      <c r="D137" s="46"/>
      <c r="E137" s="46"/>
      <c r="F137" s="13"/>
      <c r="G137" s="91">
        <f ca="1">AA185</f>
        <v>0.77267316111029904</v>
      </c>
      <c r="H137" s="27"/>
      <c r="I137" s="5"/>
      <c r="J137" s="5"/>
      <c r="K137" s="5"/>
      <c r="L137" s="5"/>
      <c r="AA137" s="6">
        <f ca="1">IF(E104=0,D104*D4,IF(INDIRECT(K113)&gt;0,E104,D104*D4))</f>
        <v>482</v>
      </c>
    </row>
    <row r="138" spans="1:27" ht="15.45" x14ac:dyDescent="0.4">
      <c r="A138" s="15"/>
      <c r="B138" s="22" t="s">
        <v>145</v>
      </c>
      <c r="C138" s="81"/>
      <c r="D138" s="17">
        <v>0</v>
      </c>
      <c r="E138" s="22" t="s">
        <v>146</v>
      </c>
      <c r="F138" s="36"/>
      <c r="G138" s="91">
        <f ca="1">AA186</f>
        <v>0.77267316111029904</v>
      </c>
      <c r="H138" s="43"/>
      <c r="I138" s="5"/>
      <c r="J138" s="5"/>
      <c r="K138" s="5"/>
      <c r="L138" s="5"/>
      <c r="AA138" s="6">
        <f ca="1">IF(K114=0,0,HLOOKUP(A2,INDIRECT(K22),3, FALSE)*INDIRECT(K114)*0.01)</f>
        <v>0</v>
      </c>
    </row>
    <row r="139" spans="1:27" ht="15.45" x14ac:dyDescent="0.4">
      <c r="A139" s="15"/>
      <c r="B139" s="22"/>
      <c r="C139" s="127" t="s">
        <v>176</v>
      </c>
      <c r="D139" s="46"/>
      <c r="E139" s="22" t="s">
        <v>175</v>
      </c>
      <c r="F139" s="46"/>
      <c r="G139" s="79">
        <f>AA187</f>
        <v>0.39433285197585943</v>
      </c>
      <c r="H139" s="1" t="str">
        <f>IF(G139&lt;=0.2499,"Risque peu élevé",IF(AND(G139&gt;0.2499,G139&lt;0.4),"Risque moyen","Risque élevé"))</f>
        <v>Risque moyen</v>
      </c>
      <c r="I139" s="5"/>
      <c r="J139" s="5"/>
      <c r="K139" s="5"/>
      <c r="L139" s="5"/>
      <c r="AA139" s="6">
        <f ca="1">H105/D4</f>
        <v>172.5</v>
      </c>
    </row>
    <row r="140" spans="1:27" ht="15.45" x14ac:dyDescent="0.4">
      <c r="A140" s="15"/>
      <c r="B140" s="46"/>
      <c r="C140" s="81"/>
      <c r="D140" s="46"/>
      <c r="E140" s="46"/>
      <c r="F140" s="89"/>
      <c r="G140" s="36"/>
      <c r="H140" s="92" t="s">
        <v>35</v>
      </c>
      <c r="I140" s="5"/>
      <c r="J140" s="5"/>
      <c r="K140" s="5"/>
      <c r="L140" s="5"/>
      <c r="AA140" s="6">
        <f ca="1">IF(E105=0,D105*D4,IF(INDIRECT(K114)&gt;0,E105,D105*D4))</f>
        <v>172.5</v>
      </c>
    </row>
    <row r="141" spans="1:27" ht="15.45" x14ac:dyDescent="0.4">
      <c r="A141" s="15"/>
      <c r="B141" s="46"/>
      <c r="C141" s="23" t="s">
        <v>147</v>
      </c>
      <c r="D141" s="23"/>
      <c r="E141" s="23" t="s">
        <v>148</v>
      </c>
      <c r="F141" s="36"/>
      <c r="G141" s="48"/>
      <c r="H141" s="92" t="s">
        <v>36</v>
      </c>
      <c r="I141" s="5" t="s">
        <v>161</v>
      </c>
      <c r="J141" s="5"/>
      <c r="K141" s="5"/>
      <c r="L141" s="5"/>
      <c r="AA141" s="6">
        <f ca="1">IF(K115=0,0,HLOOKUP(A2,INDIRECT(K22),4, FALSE)*INDIRECT(K115)*0.01)</f>
        <v>0</v>
      </c>
    </row>
    <row r="142" spans="1:27" ht="15.45" x14ac:dyDescent="0.4">
      <c r="A142" s="15"/>
      <c r="B142" s="11"/>
      <c r="C142" s="23" t="s">
        <v>149</v>
      </c>
      <c r="D142" s="93"/>
      <c r="E142" s="23" t="s">
        <v>150</v>
      </c>
      <c r="F142" s="36"/>
      <c r="G142" s="48"/>
      <c r="H142" s="92" t="s">
        <v>37</v>
      </c>
      <c r="I142" s="5" t="s">
        <v>162</v>
      </c>
      <c r="J142" s="5"/>
      <c r="K142" s="5"/>
      <c r="L142" s="5"/>
      <c r="AA142" s="6">
        <f ca="1">H106/D4</f>
        <v>0</v>
      </c>
    </row>
    <row r="143" spans="1:27" ht="15.45" x14ac:dyDescent="0.4">
      <c r="A143" s="15"/>
      <c r="B143" s="13"/>
      <c r="C143" s="29"/>
      <c r="D143" s="94"/>
      <c r="E143" s="55"/>
      <c r="F143" s="13"/>
      <c r="G143" s="75"/>
      <c r="H143" s="92" t="s">
        <v>38</v>
      </c>
      <c r="I143" s="5" t="s">
        <v>163</v>
      </c>
      <c r="J143" s="5"/>
      <c r="K143" s="5"/>
      <c r="L143" s="5"/>
      <c r="AA143" s="6">
        <f ca="1">IF(E106=0,D106*D4,IF(INDIRECT(K115)&gt;0,E106,D106*D4))</f>
        <v>0</v>
      </c>
    </row>
    <row r="144" spans="1:27" ht="15.45" x14ac:dyDescent="0.4">
      <c r="A144" s="15"/>
      <c r="B144" s="13"/>
      <c r="C144" s="29">
        <f ca="1">AA188</f>
        <v>26117.744823639936</v>
      </c>
      <c r="D144" s="94"/>
      <c r="E144" s="55" t="s">
        <v>39</v>
      </c>
      <c r="F144" s="36"/>
      <c r="G144" s="48"/>
      <c r="H144" s="84"/>
      <c r="I144" s="5"/>
      <c r="J144" s="5"/>
      <c r="K144" s="5"/>
      <c r="L144" s="5"/>
      <c r="AA144" s="6">
        <f ca="1">IF(K116=0,0,HLOOKUP(A2,INDIRECT(K22),5, FALSE)*INDIRECT(K116)*0.01)</f>
        <v>0</v>
      </c>
    </row>
    <row r="145" spans="1:27" ht="15.45" x14ac:dyDescent="0.4">
      <c r="A145" s="15"/>
      <c r="B145" s="13"/>
      <c r="C145" s="29">
        <f ca="1">AA189</f>
        <v>17906.907692912238</v>
      </c>
      <c r="D145" s="94"/>
      <c r="E145" s="55" t="s">
        <v>40</v>
      </c>
      <c r="F145" s="36"/>
      <c r="G145" s="48"/>
      <c r="H145" s="92" t="s">
        <v>41</v>
      </c>
      <c r="I145" s="71"/>
      <c r="J145" s="5"/>
      <c r="K145" s="5"/>
      <c r="L145" s="5"/>
      <c r="AA145" s="6">
        <f ca="1">H107/D4</f>
        <v>0</v>
      </c>
    </row>
    <row r="146" spans="1:27" ht="15.45" x14ac:dyDescent="0.4">
      <c r="A146" s="15"/>
      <c r="B146" s="48"/>
      <c r="C146" s="29">
        <f ca="1">AA190</f>
        <v>11368.648496221664</v>
      </c>
      <c r="D146" s="94"/>
      <c r="E146" s="55" t="s">
        <v>42</v>
      </c>
      <c r="F146" s="36"/>
      <c r="G146" s="48"/>
      <c r="H146" s="92" t="s">
        <v>43</v>
      </c>
      <c r="I146" s="95">
        <f ca="1">AA191</f>
        <v>11368.648496221664</v>
      </c>
      <c r="J146" s="5"/>
      <c r="K146" s="5"/>
      <c r="L146" s="5"/>
      <c r="AA146" s="6">
        <f ca="1">IF(E107=0,D107*D4,IF(INDIRECT(K116)&gt;0,E107,D107*D4))</f>
        <v>0</v>
      </c>
    </row>
    <row r="147" spans="1:27" ht="15.45" x14ac:dyDescent="0.4">
      <c r="A147" s="15"/>
      <c r="B147" s="48"/>
      <c r="C147" s="29">
        <f ca="1">AA192</f>
        <v>4830.3892995310889</v>
      </c>
      <c r="D147" s="94"/>
      <c r="E147" s="55" t="s">
        <v>44</v>
      </c>
      <c r="F147" s="13"/>
      <c r="G147" s="75"/>
      <c r="H147" s="92" t="s">
        <v>45</v>
      </c>
      <c r="I147" s="95">
        <f>AA193</f>
        <v>3562.6306679999998</v>
      </c>
      <c r="J147" s="5"/>
      <c r="K147" s="5"/>
      <c r="L147" s="5"/>
      <c r="AA147" s="6">
        <f ca="1">IF(K117=0,0,HLOOKUP(A2,INDIRECT(K22),6, FALSE)*INDIRECT(K117)*0.01)</f>
        <v>0</v>
      </c>
    </row>
    <row r="148" spans="1:27" ht="15.45" x14ac:dyDescent="0.4">
      <c r="A148" s="15"/>
      <c r="B148" s="48"/>
      <c r="C148" s="29">
        <f ca="1">AA194</f>
        <v>-3380.4478311966086</v>
      </c>
      <c r="D148" s="94"/>
      <c r="E148" s="55" t="s">
        <v>46</v>
      </c>
      <c r="F148" s="13"/>
      <c r="G148" s="96"/>
      <c r="H148" s="92" t="s">
        <v>47</v>
      </c>
      <c r="I148" s="95">
        <f>AA195</f>
        <v>0.60000000000000009</v>
      </c>
      <c r="J148" s="5"/>
      <c r="K148" s="5"/>
      <c r="L148" s="5"/>
      <c r="AA148" s="6">
        <f ca="1">H108/D4</f>
        <v>83</v>
      </c>
    </row>
    <row r="149" spans="1:27" ht="15.45" x14ac:dyDescent="0.4">
      <c r="A149" s="15"/>
      <c r="B149" s="18"/>
      <c r="C149" s="48"/>
      <c r="D149" s="13"/>
      <c r="E149" s="18"/>
      <c r="F149" s="13"/>
      <c r="G149" s="75"/>
      <c r="H149" s="92" t="s">
        <v>48</v>
      </c>
      <c r="I149" s="95">
        <f>AA196</f>
        <v>15205.253945792034</v>
      </c>
      <c r="J149" s="5"/>
      <c r="K149" s="5"/>
      <c r="L149" s="5"/>
      <c r="AA149" s="6">
        <f ca="1">IF(E108=0,D108*D4,IF(INDIRECT(K117)&gt;0,E108,D108*D4))</f>
        <v>83</v>
      </c>
    </row>
    <row r="150" spans="1:27" ht="15.45" x14ac:dyDescent="0.4">
      <c r="A150" s="15"/>
      <c r="B150" s="97"/>
      <c r="C150" s="13"/>
      <c r="D150" s="13"/>
      <c r="E150" s="98"/>
      <c r="F150" s="13"/>
      <c r="G150" s="13"/>
      <c r="H150" s="84"/>
      <c r="I150" s="71"/>
      <c r="J150" s="71"/>
      <c r="K150" s="5"/>
      <c r="L150" s="5"/>
      <c r="AA150" s="6">
        <f ca="1">IF(K120=0,0,HLOOKUP(A2,INDIRECT(K22),7, FALSE)*INDIRECT(K120)*0.01)</f>
        <v>0</v>
      </c>
    </row>
    <row r="151" spans="1:27" ht="15.45" x14ac:dyDescent="0.4">
      <c r="A151" s="103"/>
      <c r="B151" s="104"/>
      <c r="C151" s="104"/>
      <c r="D151" s="104"/>
      <c r="E151" s="104"/>
      <c r="F151" s="104"/>
      <c r="G151" s="104"/>
      <c r="H151" s="105"/>
      <c r="I151" s="95">
        <f ca="1">AA197</f>
        <v>0.74767896259752187</v>
      </c>
      <c r="J151" s="95">
        <f ca="1">AA198</f>
        <v>0.74767896259752187</v>
      </c>
      <c r="K151" s="5"/>
      <c r="L151" s="5"/>
      <c r="AA151" s="6">
        <f ca="1">H110/D4</f>
        <v>342</v>
      </c>
    </row>
    <row r="152" spans="1:27" ht="15.45" x14ac:dyDescent="0.4">
      <c r="A152" s="106"/>
      <c r="B152" s="107"/>
      <c r="C152" s="107"/>
      <c r="D152" s="108" t="s">
        <v>164</v>
      </c>
      <c r="E152" s="107"/>
      <c r="F152" s="107"/>
      <c r="G152" s="107"/>
      <c r="H152" s="109"/>
      <c r="I152" s="95">
        <f ca="1">AA199</f>
        <v>0.8523741097975438</v>
      </c>
      <c r="J152" s="95">
        <f ca="1">AA200</f>
        <v>0.8523741097975438</v>
      </c>
      <c r="K152" s="5"/>
      <c r="L152" s="5"/>
      <c r="AA152" s="6">
        <f ca="1">IF(E110=0,J120,IF(INDIRECT(K120)&gt;0,E110,J120))</f>
        <v>342</v>
      </c>
    </row>
    <row r="153" spans="1:27" ht="15.45" x14ac:dyDescent="0.4">
      <c r="A153" s="110"/>
      <c r="B153" s="107"/>
      <c r="C153" s="107"/>
      <c r="D153" s="107"/>
      <c r="E153" s="107"/>
      <c r="F153" s="107"/>
      <c r="G153" s="107"/>
      <c r="H153" s="109"/>
      <c r="I153" s="95">
        <f ca="1">AA201</f>
        <v>0.30166129001624009</v>
      </c>
      <c r="J153" s="95">
        <f ca="1">AA202</f>
        <v>0.30166129001624009</v>
      </c>
      <c r="K153" s="5"/>
      <c r="L153" s="5"/>
      <c r="AA153" s="6">
        <f ca="1">H112/D4</f>
        <v>25152.791503778339</v>
      </c>
    </row>
    <row r="154" spans="1:27" ht="15.45" x14ac:dyDescent="0.4">
      <c r="A154" s="108"/>
      <c r="B154" s="107"/>
      <c r="C154" s="107"/>
      <c r="D154" s="108" t="s">
        <v>165</v>
      </c>
      <c r="E154" s="111"/>
      <c r="F154" s="111"/>
      <c r="G154" s="107"/>
      <c r="H154" s="109"/>
      <c r="I154" s="95">
        <f ca="1">AA203</f>
        <v>0.22732683888970096</v>
      </c>
      <c r="J154" s="95">
        <f ca="1">AA204</f>
        <v>0.22732683888970096</v>
      </c>
      <c r="K154" s="5"/>
      <c r="L154" s="5"/>
      <c r="AA154" s="7">
        <f ca="1">SUM(H65:H110)</f>
        <v>25152.791503778339</v>
      </c>
    </row>
    <row r="155" spans="1:27" ht="15.45" x14ac:dyDescent="0.4">
      <c r="A155" s="112"/>
      <c r="B155" s="107"/>
      <c r="C155" s="107"/>
      <c r="D155" s="108" t="s">
        <v>166</v>
      </c>
      <c r="E155" s="111"/>
      <c r="F155" s="111"/>
      <c r="G155" s="107"/>
      <c r="H155" s="109"/>
      <c r="I155" s="71"/>
      <c r="J155" s="71"/>
      <c r="K155" s="5"/>
      <c r="L155" s="5"/>
      <c r="AA155" s="6">
        <f ca="1">IF(K126=0,0,HLOOKUP(A2,INDIRECT(K22),9, FALSE)*INDIRECT(K126)*0.01)</f>
        <v>0</v>
      </c>
    </row>
    <row r="156" spans="1:27" ht="15.45" x14ac:dyDescent="0.4">
      <c r="A156" s="110"/>
      <c r="B156" s="107"/>
      <c r="C156" s="107"/>
      <c r="D156" s="113" t="s">
        <v>167</v>
      </c>
      <c r="E156" s="111"/>
      <c r="F156" s="111"/>
      <c r="G156" s="107"/>
      <c r="H156" s="109"/>
      <c r="I156" s="71"/>
      <c r="J156" s="5"/>
      <c r="K156" s="5"/>
      <c r="L156" s="5"/>
      <c r="AA156" s="6">
        <f ca="1">H115/D4</f>
        <v>336</v>
      </c>
    </row>
    <row r="157" spans="1:27" ht="15.45" x14ac:dyDescent="0.4">
      <c r="A157" s="110"/>
      <c r="B157" s="107"/>
      <c r="C157" s="107"/>
      <c r="D157" s="128" t="s">
        <v>168</v>
      </c>
      <c r="E157" s="111"/>
      <c r="F157" s="111"/>
      <c r="G157" s="107"/>
      <c r="H157" s="109"/>
      <c r="I157" s="5"/>
      <c r="J157" s="5"/>
      <c r="K157" s="5"/>
      <c r="L157" s="5"/>
      <c r="AA157" s="6">
        <f ca="1">IF(E115=0,D115*D4,IF(INDIRECT(K126)&gt;0,E115,D115*D4))</f>
        <v>336</v>
      </c>
    </row>
    <row r="158" spans="1:27" ht="15.45" x14ac:dyDescent="0.4">
      <c r="A158" s="114"/>
      <c r="B158" s="115"/>
      <c r="C158" s="115"/>
      <c r="D158" s="129"/>
      <c r="E158" s="116"/>
      <c r="F158" s="116"/>
      <c r="G158" s="117"/>
      <c r="H158" s="118"/>
      <c r="I158" s="5"/>
      <c r="J158" s="5"/>
      <c r="K158" s="5"/>
      <c r="L158" s="5"/>
      <c r="AA158" s="6">
        <f ca="1">IF(K127=0,0,HLOOKUP(A2,INDIRECT(K22),10, FALSE)*INDIRECT(K127)*0.01)</f>
        <v>0</v>
      </c>
    </row>
    <row r="159" spans="1:27" ht="15.45" x14ac:dyDescent="0.4">
      <c r="A159" s="119" t="s">
        <v>169</v>
      </c>
      <c r="B159" s="120"/>
      <c r="C159" s="120"/>
      <c r="D159" s="120"/>
      <c r="E159" s="120"/>
      <c r="F159" s="121"/>
      <c r="G159" s="121"/>
      <c r="H159" s="120"/>
      <c r="I159" s="5"/>
      <c r="J159" s="5"/>
      <c r="K159" s="5"/>
      <c r="L159" s="5"/>
      <c r="AA159" s="6">
        <f ca="1">H116/D4</f>
        <v>137</v>
      </c>
    </row>
    <row r="160" spans="1:27" ht="15.45" x14ac:dyDescent="0.4">
      <c r="A160" s="99"/>
      <c r="B160" s="99"/>
      <c r="C160" s="99"/>
      <c r="D160" s="100"/>
      <c r="E160" s="99"/>
      <c r="F160" s="99"/>
      <c r="G160" s="99"/>
      <c r="H160" s="99"/>
      <c r="I160" s="5"/>
      <c r="J160" s="5"/>
      <c r="K160" s="5"/>
      <c r="L160" s="5"/>
      <c r="AA160" s="6">
        <f ca="1">IF(E116=0,D116*D4,IF(INDIRECT(K127)&gt;0,E116,D116*D4))</f>
        <v>137</v>
      </c>
    </row>
    <row r="161" spans="1:27" ht="15.45" x14ac:dyDescent="0.4">
      <c r="A161" s="99"/>
      <c r="B161" s="99"/>
      <c r="C161" s="99"/>
      <c r="D161" s="99"/>
      <c r="E161" s="99"/>
      <c r="F161" s="99"/>
      <c r="G161" s="99"/>
      <c r="H161" s="99"/>
      <c r="I161" s="5"/>
      <c r="J161" s="5"/>
      <c r="K161" s="5"/>
      <c r="L161" s="5"/>
      <c r="AA161" s="6">
        <f ca="1">IF(K128=0,0,HLOOKUP(A2,INDIRECT(K22),11, FALSE)*INDIRECT(K128)*0.01)</f>
        <v>0</v>
      </c>
    </row>
    <row r="162" spans="1:27" ht="15.45" x14ac:dyDescent="0.4">
      <c r="A162" s="99"/>
      <c r="B162" s="99"/>
      <c r="C162" s="99"/>
      <c r="D162" s="99"/>
      <c r="E162" s="99"/>
      <c r="F162" s="99"/>
      <c r="G162" s="99"/>
      <c r="H162" s="99"/>
      <c r="I162" s="5"/>
      <c r="J162" s="5"/>
      <c r="K162" s="5"/>
      <c r="L162" s="5"/>
      <c r="AA162" s="6">
        <f ca="1">H117/D4</f>
        <v>265</v>
      </c>
    </row>
    <row r="163" spans="1:27" ht="15.45" x14ac:dyDescent="0.4">
      <c r="A163" s="99"/>
      <c r="B163" s="99"/>
      <c r="C163" s="99"/>
      <c r="D163" s="99"/>
      <c r="E163" s="99"/>
      <c r="F163" s="99"/>
      <c r="G163" s="99"/>
      <c r="H163" s="99"/>
      <c r="I163" s="5"/>
      <c r="J163" s="5"/>
      <c r="K163" s="5"/>
      <c r="L163" s="5"/>
      <c r="AA163" s="6">
        <f ca="1">IF(E117=0,D117*D4,IF(INDIRECT(K128)&gt;0,E117,D117*D4))</f>
        <v>265</v>
      </c>
    </row>
    <row r="164" spans="1:27" ht="15.45" x14ac:dyDescent="0.4">
      <c r="A164" s="99"/>
      <c r="B164" s="99"/>
      <c r="C164" s="99"/>
      <c r="D164" s="99"/>
      <c r="E164" s="99"/>
      <c r="F164" s="99"/>
      <c r="G164" s="99"/>
      <c r="H164" s="99"/>
      <c r="I164" s="5"/>
      <c r="J164" s="5"/>
      <c r="K164" s="5"/>
      <c r="L164" s="5"/>
      <c r="AA164" s="6">
        <f ca="1">IF(K129=0,0,HLOOKUP(A2,INDIRECT(K22),12, FALSE)*INDIRECT(K129)*0.01)</f>
        <v>0</v>
      </c>
    </row>
    <row r="165" spans="1:27" ht="15.45" x14ac:dyDescent="0.4">
      <c r="A165" s="99"/>
      <c r="B165" s="99"/>
      <c r="C165" s="99"/>
      <c r="D165" s="99"/>
      <c r="E165" s="99"/>
      <c r="F165" s="99"/>
      <c r="G165" s="99"/>
      <c r="H165" s="99"/>
      <c r="I165" s="5"/>
      <c r="J165" s="5"/>
      <c r="K165" s="5"/>
      <c r="L165" s="5"/>
      <c r="AA165" s="6">
        <f ca="1">H118/D4</f>
        <v>1300</v>
      </c>
    </row>
    <row r="166" spans="1:27" ht="15.45" x14ac:dyDescent="0.4">
      <c r="A166" s="99"/>
      <c r="B166" s="99"/>
      <c r="C166" s="99"/>
      <c r="D166" s="99"/>
      <c r="E166" s="99"/>
      <c r="F166" s="99"/>
      <c r="G166" s="99"/>
      <c r="H166" s="99"/>
      <c r="I166" s="5"/>
      <c r="J166" s="5"/>
      <c r="K166" s="5"/>
      <c r="L166" s="5"/>
      <c r="AA166" s="6">
        <f ca="1">IF(E118=0,D118*D4,IF(INDIRECT(K129)&gt;0,E118,D118*D4))</f>
        <v>1300</v>
      </c>
    </row>
    <row r="167" spans="1:27" ht="15.45" x14ac:dyDescent="0.4">
      <c r="A167" s="99"/>
      <c r="B167" s="99"/>
      <c r="C167" s="99"/>
      <c r="D167" s="99"/>
      <c r="E167" s="99"/>
      <c r="F167" s="99"/>
      <c r="G167" s="99"/>
      <c r="H167" s="99"/>
      <c r="I167" s="5"/>
      <c r="J167" s="5"/>
      <c r="K167" s="5"/>
      <c r="L167" s="5"/>
      <c r="AA167" s="6">
        <f ca="1">H120/D4</f>
        <v>2038</v>
      </c>
    </row>
    <row r="168" spans="1:27" ht="15.45" x14ac:dyDescent="0.4">
      <c r="A168" s="99"/>
      <c r="B168" s="99"/>
      <c r="C168" s="99"/>
      <c r="D168" s="99"/>
      <c r="E168" s="99"/>
      <c r="F168" s="99"/>
      <c r="G168" s="99"/>
      <c r="H168" s="99"/>
      <c r="I168" s="5"/>
      <c r="J168" s="5"/>
      <c r="K168" s="5"/>
      <c r="L168" s="5"/>
      <c r="AA168" s="7">
        <f ca="1">SUM(H115:H118)</f>
        <v>2038</v>
      </c>
    </row>
    <row r="169" spans="1:27" ht="15.45" x14ac:dyDescent="0.4">
      <c r="A169" s="99"/>
      <c r="B169" s="99"/>
      <c r="C169" s="99"/>
      <c r="D169" s="99"/>
      <c r="E169" s="99"/>
      <c r="F169" s="99"/>
      <c r="G169" s="99"/>
      <c r="H169" s="99"/>
      <c r="I169" s="5"/>
      <c r="J169" s="5"/>
      <c r="K169" s="5"/>
      <c r="L169" s="5"/>
      <c r="AA169" s="6">
        <f ca="1">ROUND(SUM(H68:H108)*C110*D110*0.0001,0)</f>
        <v>342</v>
      </c>
    </row>
    <row r="170" spans="1:27" ht="15.45" x14ac:dyDescent="0.4">
      <c r="A170" s="99"/>
      <c r="B170" s="99"/>
      <c r="C170" s="99"/>
      <c r="D170" s="99"/>
      <c r="E170" s="99"/>
      <c r="F170" s="99"/>
      <c r="G170" s="99"/>
      <c r="H170" s="99"/>
      <c r="I170" s="5"/>
      <c r="J170" s="5"/>
      <c r="K170" s="5"/>
      <c r="L170" s="5"/>
      <c r="AA170" s="6">
        <f>E7*E8</f>
        <v>38559.440000000002</v>
      </c>
    </row>
    <row r="171" spans="1:27" ht="15.45" x14ac:dyDescent="0.4">
      <c r="A171" s="99"/>
      <c r="B171" s="99"/>
      <c r="C171" s="99"/>
      <c r="D171" s="99"/>
      <c r="E171" s="99"/>
      <c r="F171" s="99"/>
      <c r="G171" s="99"/>
      <c r="H171" s="99"/>
      <c r="I171" s="5"/>
      <c r="J171" s="5"/>
      <c r="K171" s="5"/>
      <c r="L171" s="5"/>
      <c r="AA171" s="6">
        <f>E123*D4</f>
        <v>38559.440000000002</v>
      </c>
    </row>
    <row r="172" spans="1:27" ht="15.45" x14ac:dyDescent="0.4">
      <c r="A172" s="99"/>
      <c r="B172" s="99"/>
      <c r="C172" s="99"/>
      <c r="D172" s="99"/>
      <c r="E172" s="99"/>
      <c r="F172" s="99"/>
      <c r="G172" s="99"/>
      <c r="H172" s="99"/>
      <c r="I172" s="5"/>
      <c r="J172" s="5"/>
      <c r="K172" s="5"/>
      <c r="L172" s="5"/>
      <c r="AA172" s="6">
        <f>IF(E94=1,D16,0)</f>
        <v>1565.4116342461402</v>
      </c>
    </row>
    <row r="173" spans="1:27" ht="15.45" x14ac:dyDescent="0.4">
      <c r="A173" s="99"/>
      <c r="B173" s="99"/>
      <c r="C173" s="99"/>
      <c r="D173" s="99"/>
      <c r="E173" s="99"/>
      <c r="F173" s="99"/>
      <c r="G173" s="99"/>
      <c r="H173" s="99"/>
      <c r="I173" s="5"/>
      <c r="J173" s="5"/>
      <c r="K173" s="5"/>
      <c r="L173" s="5"/>
      <c r="AA173" s="6">
        <f>E124*D4</f>
        <v>0</v>
      </c>
    </row>
    <row r="174" spans="1:27" ht="15.45" x14ac:dyDescent="0.4">
      <c r="A174" s="99"/>
      <c r="B174" s="99"/>
      <c r="C174" s="99"/>
      <c r="D174" s="99"/>
      <c r="E174" s="99"/>
      <c r="F174" s="99"/>
      <c r="G174" s="99"/>
      <c r="H174" s="99"/>
      <c r="I174" s="5"/>
      <c r="J174" s="5"/>
      <c r="K174" s="5"/>
      <c r="L174" s="5"/>
      <c r="AA174" s="6">
        <f ca="1">F125/D4</f>
        <v>25152.791503778339</v>
      </c>
    </row>
    <row r="175" spans="1:27" ht="15.45" x14ac:dyDescent="0.4">
      <c r="A175" s="99"/>
      <c r="B175" s="99"/>
      <c r="C175" s="99"/>
      <c r="D175" s="99"/>
      <c r="E175" s="99"/>
      <c r="F175" s="99"/>
      <c r="G175" s="99"/>
      <c r="H175" s="99"/>
      <c r="I175" s="5"/>
      <c r="J175" s="5"/>
      <c r="K175" s="5"/>
      <c r="L175" s="5"/>
      <c r="AA175" s="7">
        <f ca="1">H112</f>
        <v>25152.791503778339</v>
      </c>
    </row>
    <row r="176" spans="1:27" ht="15.45" x14ac:dyDescent="0.4">
      <c r="A176" s="99"/>
      <c r="B176" s="99"/>
      <c r="C176" s="99"/>
      <c r="D176" s="99"/>
      <c r="E176" s="99"/>
      <c r="F176" s="99"/>
      <c r="G176" s="99"/>
      <c r="H176" s="99"/>
      <c r="I176" s="5"/>
      <c r="J176" s="5"/>
      <c r="K176" s="5"/>
      <c r="L176" s="5"/>
      <c r="AA176" s="6">
        <f ca="1">F127/D4</f>
        <v>13406.648496221664</v>
      </c>
    </row>
    <row r="177" spans="1:27" ht="15.45" x14ac:dyDescent="0.4">
      <c r="A177" s="99"/>
      <c r="B177" s="99"/>
      <c r="C177" s="99"/>
      <c r="D177" s="99"/>
      <c r="E177" s="99"/>
      <c r="F177" s="99"/>
      <c r="G177" s="99"/>
      <c r="H177" s="99"/>
      <c r="I177" s="5"/>
      <c r="J177" s="5"/>
      <c r="K177" s="5"/>
      <c r="L177" s="5"/>
      <c r="AA177" s="7">
        <f ca="1">SUM(F123:F124)-F125</f>
        <v>13406.648496221664</v>
      </c>
    </row>
    <row r="178" spans="1:27" ht="15.45" x14ac:dyDescent="0.4">
      <c r="A178" s="99"/>
      <c r="B178" s="99"/>
      <c r="C178" s="99"/>
      <c r="D178" s="99"/>
      <c r="E178" s="99"/>
      <c r="F178" s="99"/>
      <c r="G178" s="99"/>
      <c r="H178" s="99"/>
      <c r="I178" s="5"/>
      <c r="J178" s="5"/>
      <c r="K178" s="5"/>
      <c r="L178" s="5"/>
      <c r="AA178" s="6">
        <f ca="1">F128/D4</f>
        <v>2038</v>
      </c>
    </row>
    <row r="179" spans="1:27" ht="15.45" x14ac:dyDescent="0.4">
      <c r="A179" s="99"/>
      <c r="B179" s="99"/>
      <c r="C179" s="99"/>
      <c r="D179" s="99"/>
      <c r="E179" s="99"/>
      <c r="F179" s="99"/>
      <c r="G179" s="99"/>
      <c r="H179" s="99"/>
      <c r="I179" s="5"/>
      <c r="J179" s="5"/>
      <c r="K179" s="5"/>
      <c r="L179" s="5"/>
      <c r="AA179" s="7">
        <f ca="1">H120</f>
        <v>2038</v>
      </c>
    </row>
    <row r="180" spans="1:27" ht="15.45" x14ac:dyDescent="0.4">
      <c r="A180" s="99"/>
      <c r="B180" s="99"/>
      <c r="C180" s="99"/>
      <c r="D180" s="99"/>
      <c r="E180" s="99"/>
      <c r="F180" s="99"/>
      <c r="G180" s="99"/>
      <c r="H180" s="99"/>
      <c r="I180" s="5"/>
      <c r="J180" s="5"/>
      <c r="K180" s="5"/>
      <c r="L180" s="5"/>
      <c r="AA180" s="7">
        <f ca="1">E127-E128</f>
        <v>11368.648496221664</v>
      </c>
    </row>
    <row r="181" spans="1:27" ht="15.45" x14ac:dyDescent="0.4">
      <c r="A181" s="99"/>
      <c r="B181" s="99"/>
      <c r="C181" s="99"/>
      <c r="D181" s="99"/>
      <c r="E181" s="99"/>
      <c r="F181" s="99"/>
      <c r="G181" s="99"/>
      <c r="H181" s="99"/>
      <c r="I181" s="5"/>
      <c r="J181" s="5"/>
      <c r="K181" s="5"/>
      <c r="L181" s="5"/>
      <c r="AA181" s="7">
        <f ca="1">F127-F128</f>
        <v>11368.648496221664</v>
      </c>
    </row>
    <row r="182" spans="1:27" ht="15.45" x14ac:dyDescent="0.4">
      <c r="A182" s="99"/>
      <c r="B182" s="99"/>
      <c r="C182" s="99"/>
      <c r="D182" s="99"/>
      <c r="E182" s="99"/>
      <c r="F182" s="99"/>
      <c r="G182" s="99"/>
      <c r="H182" s="99"/>
      <c r="I182" s="5"/>
      <c r="J182" s="5"/>
      <c r="K182" s="5"/>
      <c r="L182" s="5"/>
      <c r="AA182" s="6">
        <f ca="1">E125/E7</f>
        <v>2.5309711716420145</v>
      </c>
    </row>
    <row r="183" spans="1:27" ht="15.45" x14ac:dyDescent="0.4">
      <c r="A183" s="99"/>
      <c r="B183" s="99"/>
      <c r="C183" s="99"/>
      <c r="D183" s="99"/>
      <c r="E183" s="99"/>
      <c r="F183" s="99"/>
      <c r="G183" s="99"/>
      <c r="H183" s="99"/>
      <c r="I183" s="5"/>
      <c r="J183" s="5"/>
      <c r="K183" s="5"/>
      <c r="L183" s="5"/>
      <c r="AA183" s="6">
        <f ca="1">E128/E7</f>
        <v>0.20507144294626686</v>
      </c>
    </row>
    <row r="184" spans="1:27" ht="15.45" x14ac:dyDescent="0.4">
      <c r="A184" s="99"/>
      <c r="B184" s="99"/>
      <c r="C184" s="99"/>
      <c r="D184" s="99"/>
      <c r="E184" s="99"/>
      <c r="F184" s="99"/>
      <c r="G184" s="99"/>
      <c r="H184" s="99"/>
      <c r="I184" s="5"/>
      <c r="J184" s="5"/>
      <c r="K184" s="5"/>
      <c r="L184" s="5"/>
      <c r="AA184" s="88">
        <f ca="1">G132+G133</f>
        <v>2.7360426145882815</v>
      </c>
    </row>
    <row r="185" spans="1:27" ht="15.45" x14ac:dyDescent="0.4">
      <c r="A185" s="99"/>
      <c r="B185" s="99"/>
      <c r="C185" s="99"/>
      <c r="D185" s="99"/>
      <c r="E185" s="99"/>
      <c r="F185" s="99"/>
      <c r="G185" s="99"/>
      <c r="H185" s="99"/>
      <c r="I185" s="5"/>
      <c r="J185" s="5"/>
      <c r="K185" s="5"/>
      <c r="L185" s="5"/>
      <c r="AA185" s="6">
        <f ca="1">IF(I146&gt;0,1-I154,I154)</f>
        <v>0.77267316111029904</v>
      </c>
    </row>
    <row r="186" spans="1:27" ht="15.45" x14ac:dyDescent="0.4">
      <c r="A186" s="99"/>
      <c r="B186" s="99"/>
      <c r="C186" s="99"/>
      <c r="D186" s="99"/>
      <c r="E186" s="99"/>
      <c r="F186" s="99"/>
      <c r="G186" s="99"/>
      <c r="H186" s="99"/>
      <c r="I186" s="5"/>
      <c r="J186" s="5"/>
      <c r="K186" s="5"/>
      <c r="L186" s="5"/>
      <c r="AA186" s="6">
        <f ca="1">IF(I146-D138&gt;0,1-J154,J154)</f>
        <v>0.77267316111029904</v>
      </c>
    </row>
    <row r="187" spans="1:27" ht="15.45" x14ac:dyDescent="0.4">
      <c r="A187" s="99"/>
      <c r="B187" s="99"/>
      <c r="C187" s="99"/>
      <c r="D187" s="99"/>
      <c r="E187" s="99"/>
      <c r="F187" s="99"/>
      <c r="G187" s="99"/>
      <c r="H187" s="99"/>
      <c r="I187" s="5"/>
      <c r="J187" s="5"/>
      <c r="K187" s="5"/>
      <c r="L187" s="5"/>
      <c r="AA187" s="6">
        <f>I149/E123</f>
        <v>0.39433285197585943</v>
      </c>
    </row>
    <row r="188" spans="1:27" ht="15.45" x14ac:dyDescent="0.4">
      <c r="A188" s="99"/>
      <c r="B188" s="99"/>
      <c r="C188" s="99"/>
      <c r="D188" s="99"/>
      <c r="E188" s="99"/>
      <c r="F188" s="99"/>
      <c r="G188" s="99"/>
      <c r="H188" s="99"/>
      <c r="I188" s="5"/>
      <c r="J188" s="5"/>
      <c r="K188" s="5"/>
      <c r="L188" s="5"/>
      <c r="AA188" s="6">
        <f ca="1">I146+0.97*I149</f>
        <v>26117.744823639936</v>
      </c>
    </row>
    <row r="189" spans="1:27" ht="15.45" x14ac:dyDescent="0.4">
      <c r="A189" s="99"/>
      <c r="B189" s="99"/>
      <c r="C189" s="99"/>
      <c r="D189" s="99"/>
      <c r="E189" s="99"/>
      <c r="F189" s="99"/>
      <c r="G189" s="99"/>
      <c r="H189" s="99"/>
      <c r="I189" s="5"/>
      <c r="J189" s="5"/>
      <c r="K189" s="5"/>
      <c r="L189" s="5"/>
      <c r="AA189" s="6">
        <f ca="1">I146+0.43*I149</f>
        <v>17906.907692912238</v>
      </c>
    </row>
    <row r="190" spans="1:27" ht="15.45" x14ac:dyDescent="0.4">
      <c r="A190" s="99"/>
      <c r="B190" s="99"/>
      <c r="C190" s="99"/>
      <c r="D190" s="99"/>
      <c r="E190" s="99"/>
      <c r="F190" s="99"/>
      <c r="G190" s="99"/>
      <c r="H190" s="99"/>
      <c r="I190" s="5"/>
      <c r="J190" s="5"/>
      <c r="K190" s="5"/>
      <c r="L190" s="5"/>
      <c r="AA190" s="101">
        <f ca="1">I146</f>
        <v>11368.648496221664</v>
      </c>
    </row>
    <row r="191" spans="1:27" ht="15.45" x14ac:dyDescent="0.4">
      <c r="A191" s="99"/>
      <c r="B191" s="99"/>
      <c r="C191" s="99"/>
      <c r="D191" s="99"/>
      <c r="E191" s="99"/>
      <c r="F191" s="99"/>
      <c r="G191" s="99"/>
      <c r="H191" s="99"/>
      <c r="I191" s="5"/>
      <c r="J191" s="5"/>
      <c r="K191" s="5"/>
      <c r="L191" s="5"/>
      <c r="AA191" s="7">
        <f ca="1">E130</f>
        <v>11368.648496221664</v>
      </c>
    </row>
    <row r="192" spans="1:27" ht="15.45" x14ac:dyDescent="0.4">
      <c r="A192" s="99"/>
      <c r="B192" s="99"/>
      <c r="C192" s="99"/>
      <c r="D192" s="99"/>
      <c r="E192" s="99"/>
      <c r="F192" s="99"/>
      <c r="G192" s="99"/>
      <c r="H192" s="99"/>
      <c r="I192" s="5"/>
      <c r="J192" s="5"/>
      <c r="K192" s="5"/>
      <c r="L192" s="5"/>
      <c r="AA192" s="6">
        <f ca="1">I146-0.43*I149</f>
        <v>4830.3892995310889</v>
      </c>
    </row>
    <row r="193" spans="1:27" ht="15.45" x14ac:dyDescent="0.4">
      <c r="A193" s="99"/>
      <c r="B193" s="99"/>
      <c r="C193" s="99"/>
      <c r="D193" s="99"/>
      <c r="E193" s="99"/>
      <c r="F193" s="99"/>
      <c r="G193" s="99"/>
      <c r="H193" s="99"/>
      <c r="I193" s="5"/>
      <c r="J193" s="5"/>
      <c r="K193" s="5"/>
      <c r="L193" s="5"/>
      <c r="AA193" s="6">
        <f>IF(E94=1,0.19465*E7+0.66805*((C7-G7)/2)-0.20342*D13,(C7-G7)/2)</f>
        <v>3562.6306679999998</v>
      </c>
    </row>
    <row r="194" spans="1:27" ht="15.45" x14ac:dyDescent="0.4">
      <c r="A194" s="99"/>
      <c r="B194" s="99"/>
      <c r="C194" s="99"/>
      <c r="D194" s="99"/>
      <c r="E194" s="99"/>
      <c r="F194" s="99"/>
      <c r="G194" s="99"/>
      <c r="H194" s="99"/>
      <c r="I194" s="5"/>
      <c r="J194" s="5"/>
      <c r="K194" s="5"/>
      <c r="L194" s="5"/>
      <c r="AA194" s="6">
        <f ca="1">I146-0.97*I149</f>
        <v>-3380.4478311966086</v>
      </c>
    </row>
    <row r="195" spans="1:27" ht="15.45" x14ac:dyDescent="0.4">
      <c r="A195" s="99"/>
      <c r="B195" s="99"/>
      <c r="C195" s="99"/>
      <c r="D195" s="99"/>
      <c r="E195" s="99"/>
      <c r="F195" s="99"/>
      <c r="G195" s="99"/>
      <c r="H195" s="99"/>
      <c r="I195" s="5"/>
      <c r="J195" s="5"/>
      <c r="K195" s="5"/>
      <c r="L195" s="5"/>
      <c r="AA195" s="6">
        <f>(C8-G8)/2</f>
        <v>0.60000000000000009</v>
      </c>
    </row>
    <row r="196" spans="1:27" ht="15.45" x14ac:dyDescent="0.4">
      <c r="A196" s="99"/>
      <c r="B196" s="99"/>
      <c r="C196" s="99"/>
      <c r="D196" s="99"/>
      <c r="E196" s="99"/>
      <c r="F196" s="99"/>
      <c r="G196" s="99"/>
      <c r="H196" s="99"/>
      <c r="I196" s="5"/>
      <c r="J196" s="5"/>
      <c r="K196" s="5"/>
      <c r="L196" s="5"/>
      <c r="AA196" s="6">
        <f>SQRT((E7*I148)^2+(E8*I147)^2+(I147*I148)^2)</f>
        <v>15205.253945792034</v>
      </c>
    </row>
    <row r="197" spans="1:27" ht="15.45" x14ac:dyDescent="0.4">
      <c r="A197" s="99"/>
      <c r="B197" s="99"/>
      <c r="C197" s="99"/>
      <c r="D197" s="99"/>
      <c r="E197" s="99"/>
      <c r="F197" s="99"/>
      <c r="G197" s="99"/>
      <c r="H197" s="99"/>
      <c r="I197" s="5"/>
      <c r="J197" s="5"/>
      <c r="K197" s="5"/>
      <c r="L197" s="5"/>
      <c r="AA197" s="6">
        <f ca="1">ABS(I146/I149)</f>
        <v>0.74767896259752187</v>
      </c>
    </row>
    <row r="198" spans="1:27" ht="15.45" x14ac:dyDescent="0.4">
      <c r="A198" s="99"/>
      <c r="B198" s="99"/>
      <c r="C198" s="99"/>
      <c r="D198" s="99"/>
      <c r="E198" s="99"/>
      <c r="F198" s="99"/>
      <c r="G198" s="99"/>
      <c r="H198" s="99"/>
      <c r="I198" s="5"/>
      <c r="J198" s="5"/>
      <c r="K198" s="5"/>
      <c r="L198" s="5"/>
      <c r="AA198" s="6">
        <f ca="1">ABS((I146-D138)/I149)</f>
        <v>0.74767896259752187</v>
      </c>
    </row>
    <row r="199" spans="1:27" ht="15.45" x14ac:dyDescent="0.4">
      <c r="A199" s="99"/>
      <c r="B199" s="99"/>
      <c r="C199" s="99"/>
      <c r="D199" s="99"/>
      <c r="E199" s="99"/>
      <c r="F199" s="99"/>
      <c r="G199" s="99"/>
      <c r="H199" s="99"/>
      <c r="I199" s="5"/>
      <c r="J199" s="5"/>
      <c r="K199" s="5"/>
      <c r="L199" s="5"/>
      <c r="AA199" s="6">
        <f ca="1">1/(1+(0.2316419*I151))</f>
        <v>0.8523741097975438</v>
      </c>
    </row>
    <row r="200" spans="1:27" ht="15.45" x14ac:dyDescent="0.4">
      <c r="A200" s="99"/>
      <c r="B200" s="99"/>
      <c r="C200" s="99"/>
      <c r="D200" s="99"/>
      <c r="E200" s="99"/>
      <c r="F200" s="99"/>
      <c r="G200" s="99"/>
      <c r="H200" s="99"/>
      <c r="I200" s="5"/>
      <c r="J200" s="5"/>
      <c r="K200" s="5"/>
      <c r="L200" s="5"/>
      <c r="AA200" s="6">
        <f ca="1">1/(1+(0.2316419*J151))</f>
        <v>0.8523741097975438</v>
      </c>
    </row>
    <row r="201" spans="1:27" ht="15.45" x14ac:dyDescent="0.4">
      <c r="A201" s="99"/>
      <c r="B201" s="99"/>
      <c r="C201" s="99"/>
      <c r="D201" s="99"/>
      <c r="E201" s="99"/>
      <c r="F201" s="99"/>
      <c r="G201" s="99"/>
      <c r="H201" s="99"/>
      <c r="I201" s="5"/>
      <c r="J201" s="5"/>
      <c r="K201" s="5"/>
      <c r="L201" s="5"/>
      <c r="AA201" s="6">
        <f ca="1">0.398942281*EXP(I151^2/-2)</f>
        <v>0.30166129001624009</v>
      </c>
    </row>
    <row r="202" spans="1:27" ht="15.9" x14ac:dyDescent="0.45">
      <c r="A202" s="102"/>
      <c r="B202" s="102"/>
      <c r="C202" s="102"/>
      <c r="D202" s="102"/>
      <c r="E202" s="102"/>
      <c r="F202" s="102"/>
      <c r="G202" s="102"/>
      <c r="H202" s="102"/>
      <c r="I202" s="102"/>
      <c r="J202" s="102"/>
      <c r="K202" s="102"/>
      <c r="AA202" s="6">
        <f ca="1">0.398942281*EXP(J151^2/-2)</f>
        <v>0.30166129001624009</v>
      </c>
    </row>
    <row r="203" spans="1:27" ht="15.9" x14ac:dyDescent="0.45">
      <c r="A203" s="102"/>
      <c r="B203" s="102"/>
      <c r="C203" s="102"/>
      <c r="D203" s="102"/>
      <c r="E203" s="102"/>
      <c r="F203" s="102"/>
      <c r="G203" s="102"/>
      <c r="H203" s="102"/>
      <c r="I203" s="102"/>
      <c r="J203" s="102"/>
      <c r="K203" s="102"/>
      <c r="AA203" s="6">
        <f ca="1">I153*(0.31938153*I152-0.356563782*I152^2+1.781477937*I152^3-1.821255978*I152^4+1.330274429*I152^5)</f>
        <v>0.22732683888970096</v>
      </c>
    </row>
    <row r="204" spans="1:27" ht="15.9" x14ac:dyDescent="0.45">
      <c r="A204" s="102"/>
      <c r="B204" s="102"/>
      <c r="C204" s="102"/>
      <c r="D204" s="102"/>
      <c r="E204" s="102"/>
      <c r="F204" s="102"/>
      <c r="G204" s="102"/>
      <c r="H204" s="102"/>
      <c r="I204" s="102"/>
      <c r="J204" s="102"/>
      <c r="K204" s="102"/>
      <c r="AA204" s="6">
        <f ca="1">J153*(0.31938153*J152-0.356563782*J152^2+1.781477937*J152^3-1.821255978*J152^4+1.330274429*J152^5)</f>
        <v>0.22732683888970096</v>
      </c>
    </row>
    <row r="205" spans="1:27" ht="15.9" x14ac:dyDescent="0.45">
      <c r="A205" s="102"/>
      <c r="B205" s="102"/>
      <c r="C205" s="102"/>
      <c r="D205" s="102"/>
      <c r="E205" s="102"/>
      <c r="F205" s="102"/>
      <c r="G205" s="102"/>
      <c r="H205" s="102"/>
      <c r="I205" s="102"/>
      <c r="J205" s="102"/>
      <c r="K205" s="102"/>
    </row>
    <row r="206" spans="1:27" ht="15.9" x14ac:dyDescent="0.45">
      <c r="A206" s="102"/>
      <c r="B206" s="102"/>
      <c r="C206" s="102"/>
      <c r="D206" s="102"/>
      <c r="E206" s="102"/>
      <c r="F206" s="102"/>
      <c r="G206" s="102"/>
      <c r="H206" s="102"/>
      <c r="I206" s="102"/>
      <c r="J206" s="102"/>
      <c r="K206" s="102"/>
    </row>
    <row r="207" spans="1:27" ht="15.9" x14ac:dyDescent="0.45">
      <c r="A207" s="102"/>
      <c r="B207" s="102"/>
      <c r="C207" s="102"/>
      <c r="D207" s="102"/>
      <c r="E207" s="102"/>
      <c r="F207" s="102"/>
      <c r="G207" s="102"/>
      <c r="H207" s="102"/>
      <c r="I207" s="102"/>
      <c r="J207" s="102"/>
      <c r="K207" s="102"/>
    </row>
    <row r="208" spans="1:27" ht="15.9" x14ac:dyDescent="0.45">
      <c r="A208" s="102"/>
      <c r="B208" s="102"/>
      <c r="C208" s="102"/>
      <c r="D208" s="102"/>
      <c r="E208" s="102"/>
      <c r="F208" s="102"/>
      <c r="G208" s="102"/>
      <c r="H208" s="102"/>
      <c r="I208" s="102"/>
      <c r="J208" s="102"/>
      <c r="K208" s="102"/>
    </row>
    <row r="209" spans="1:11" ht="15.9" x14ac:dyDescent="0.45">
      <c r="A209" s="102"/>
      <c r="B209" s="102"/>
      <c r="C209" s="102"/>
      <c r="D209" s="102"/>
      <c r="E209" s="102"/>
      <c r="F209" s="102"/>
      <c r="G209" s="102"/>
      <c r="H209" s="102"/>
      <c r="I209" s="102"/>
      <c r="J209" s="102"/>
      <c r="K209" s="102"/>
    </row>
    <row r="210" spans="1:11" ht="15.9" x14ac:dyDescent="0.45">
      <c r="A210" s="102"/>
      <c r="B210" s="102"/>
      <c r="C210" s="102"/>
      <c r="D210" s="102"/>
      <c r="E210" s="102"/>
      <c r="F210" s="102"/>
      <c r="G210" s="102"/>
      <c r="H210" s="102"/>
      <c r="I210" s="102"/>
      <c r="J210" s="102"/>
      <c r="K210" s="102"/>
    </row>
    <row r="211" spans="1:11" ht="15.9" x14ac:dyDescent="0.45">
      <c r="A211" s="102"/>
      <c r="B211" s="102"/>
      <c r="C211" s="102"/>
      <c r="D211" s="102"/>
      <c r="E211" s="102"/>
      <c r="F211" s="102"/>
      <c r="G211" s="102"/>
      <c r="H211" s="102"/>
      <c r="I211" s="102"/>
      <c r="J211" s="102"/>
      <c r="K211" s="102"/>
    </row>
    <row r="212" spans="1:11" ht="15.9" x14ac:dyDescent="0.45">
      <c r="A212" s="102"/>
      <c r="B212" s="102"/>
      <c r="C212" s="102"/>
      <c r="D212" s="102"/>
      <c r="E212" s="102"/>
      <c r="F212" s="102"/>
      <c r="G212" s="102"/>
      <c r="H212" s="102"/>
      <c r="I212" s="102"/>
      <c r="J212" s="102"/>
      <c r="K212" s="102"/>
    </row>
    <row r="213" spans="1:11" ht="15.9" x14ac:dyDescent="0.45">
      <c r="A213" s="102"/>
      <c r="B213" s="102"/>
      <c r="C213" s="102"/>
      <c r="D213" s="102"/>
      <c r="E213" s="102"/>
      <c r="F213" s="102"/>
      <c r="G213" s="102"/>
      <c r="H213" s="102"/>
      <c r="I213" s="102"/>
      <c r="J213" s="102"/>
      <c r="K213" s="102"/>
    </row>
    <row r="214" spans="1:11" ht="15.9" x14ac:dyDescent="0.45">
      <c r="A214" s="102"/>
      <c r="B214" s="102"/>
      <c r="C214" s="102"/>
      <c r="D214" s="102"/>
      <c r="E214" s="102"/>
      <c r="F214" s="102"/>
      <c r="G214" s="102"/>
      <c r="H214" s="102"/>
      <c r="I214" s="102"/>
      <c r="J214" s="102"/>
      <c r="K214" s="102"/>
    </row>
    <row r="215" spans="1:11" ht="15.9" x14ac:dyDescent="0.45">
      <c r="A215" s="102"/>
      <c r="B215" s="102"/>
      <c r="C215" s="102"/>
      <c r="D215" s="102"/>
      <c r="E215" s="102"/>
      <c r="F215" s="102"/>
      <c r="G215" s="102"/>
      <c r="H215" s="102"/>
      <c r="I215" s="102"/>
      <c r="J215" s="102"/>
      <c r="K215" s="102"/>
    </row>
    <row r="216" spans="1:11" ht="15.9" x14ac:dyDescent="0.45">
      <c r="A216" s="102"/>
      <c r="B216" s="102"/>
      <c r="C216" s="102"/>
      <c r="D216" s="102"/>
      <c r="E216" s="102"/>
      <c r="F216" s="102"/>
      <c r="G216" s="102"/>
      <c r="H216" s="102"/>
      <c r="I216" s="102"/>
      <c r="J216" s="102"/>
      <c r="K216" s="102"/>
    </row>
    <row r="217" spans="1:11" ht="15.9" x14ac:dyDescent="0.45">
      <c r="A217" s="102"/>
      <c r="B217" s="102"/>
      <c r="C217" s="102"/>
      <c r="D217" s="102"/>
      <c r="E217" s="102"/>
      <c r="F217" s="102"/>
      <c r="G217" s="102"/>
      <c r="H217" s="102"/>
      <c r="I217" s="102"/>
      <c r="J217" s="102"/>
      <c r="K217" s="102"/>
    </row>
    <row r="218" spans="1:11" ht="15.9" x14ac:dyDescent="0.45">
      <c r="A218" s="102"/>
      <c r="B218" s="102"/>
      <c r="C218" s="102"/>
      <c r="D218" s="102"/>
      <c r="E218" s="102"/>
      <c r="F218" s="102"/>
      <c r="G218" s="102"/>
      <c r="H218" s="102"/>
      <c r="I218" s="102"/>
      <c r="J218" s="102"/>
      <c r="K218" s="102"/>
    </row>
    <row r="219" spans="1:11" ht="15.9" x14ac:dyDescent="0.45">
      <c r="A219" s="102"/>
      <c r="B219" s="102"/>
      <c r="C219" s="102"/>
      <c r="D219" s="102"/>
      <c r="E219" s="102"/>
      <c r="F219" s="102"/>
      <c r="G219" s="102"/>
      <c r="H219" s="102"/>
      <c r="I219" s="102"/>
      <c r="J219" s="102"/>
      <c r="K219" s="102"/>
    </row>
    <row r="220" spans="1:11" ht="15.9" x14ac:dyDescent="0.45">
      <c r="A220" s="102"/>
      <c r="B220" s="102"/>
      <c r="C220" s="102"/>
      <c r="D220" s="102"/>
      <c r="E220" s="102"/>
      <c r="F220" s="102"/>
      <c r="G220" s="102"/>
      <c r="H220" s="102"/>
      <c r="I220" s="102"/>
      <c r="J220" s="102"/>
      <c r="K220" s="102"/>
    </row>
    <row r="221" spans="1:11" ht="15.9" x14ac:dyDescent="0.45">
      <c r="A221" s="102"/>
      <c r="B221" s="102"/>
      <c r="C221" s="102"/>
      <c r="D221" s="102"/>
      <c r="E221" s="102"/>
      <c r="F221" s="102"/>
      <c r="G221" s="102"/>
      <c r="H221" s="102"/>
      <c r="I221" s="102"/>
      <c r="J221" s="102"/>
      <c r="K221" s="102"/>
    </row>
    <row r="222" spans="1:11" ht="15.9" x14ac:dyDescent="0.45">
      <c r="A222" s="102"/>
      <c r="B222" s="102"/>
      <c r="C222" s="102"/>
      <c r="D222" s="102"/>
      <c r="E222" s="102"/>
      <c r="F222" s="102"/>
      <c r="G222" s="102"/>
      <c r="H222" s="102"/>
      <c r="I222" s="102"/>
      <c r="J222" s="102"/>
      <c r="K222" s="102"/>
    </row>
    <row r="223" spans="1:11" ht="15.9" x14ac:dyDescent="0.45">
      <c r="A223" s="102"/>
      <c r="B223" s="102"/>
      <c r="C223" s="102"/>
      <c r="D223" s="102"/>
      <c r="E223" s="102"/>
      <c r="F223" s="102"/>
      <c r="G223" s="102"/>
      <c r="H223" s="102"/>
      <c r="I223" s="102"/>
      <c r="J223" s="102"/>
      <c r="K223" s="102"/>
    </row>
    <row r="224" spans="1:11" ht="15.9" x14ac:dyDescent="0.45">
      <c r="A224" s="102"/>
      <c r="B224" s="102"/>
      <c r="C224" s="102"/>
      <c r="D224" s="102"/>
      <c r="E224" s="102"/>
      <c r="F224" s="102"/>
      <c r="G224" s="102"/>
      <c r="H224" s="102"/>
      <c r="I224" s="102"/>
      <c r="J224" s="102"/>
      <c r="K224" s="102"/>
    </row>
    <row r="225" spans="1:11" ht="15.9" x14ac:dyDescent="0.45">
      <c r="A225" s="102"/>
      <c r="B225" s="102"/>
      <c r="C225" s="102"/>
      <c r="D225" s="102"/>
      <c r="E225" s="102"/>
      <c r="F225" s="102"/>
      <c r="G225" s="102"/>
      <c r="H225" s="102"/>
      <c r="I225" s="102"/>
      <c r="J225" s="102"/>
      <c r="K225" s="102"/>
    </row>
    <row r="226" spans="1:11" ht="15.9" x14ac:dyDescent="0.45">
      <c r="A226" s="102"/>
      <c r="B226" s="102"/>
      <c r="C226" s="102"/>
      <c r="D226" s="102"/>
      <c r="E226" s="102"/>
      <c r="F226" s="102"/>
      <c r="G226" s="102"/>
      <c r="H226" s="102"/>
      <c r="I226" s="102"/>
      <c r="J226" s="102"/>
      <c r="K226" s="102"/>
    </row>
    <row r="227" spans="1:11" ht="15.9" x14ac:dyDescent="0.45">
      <c r="A227" s="102"/>
      <c r="B227" s="102"/>
      <c r="C227" s="102"/>
      <c r="D227" s="102"/>
      <c r="E227" s="102"/>
      <c r="F227" s="102"/>
      <c r="G227" s="102"/>
      <c r="H227" s="102"/>
      <c r="I227" s="102"/>
      <c r="J227" s="102"/>
      <c r="K227" s="102"/>
    </row>
    <row r="228" spans="1:11" ht="15.9" x14ac:dyDescent="0.45">
      <c r="A228" s="102"/>
      <c r="B228" s="102"/>
      <c r="C228" s="102"/>
      <c r="D228" s="102"/>
      <c r="E228" s="102"/>
      <c r="F228" s="102"/>
      <c r="G228" s="102"/>
      <c r="H228" s="102"/>
      <c r="I228" s="102"/>
      <c r="J228" s="102"/>
      <c r="K228" s="102"/>
    </row>
    <row r="229" spans="1:11" ht="15.9" x14ac:dyDescent="0.45">
      <c r="A229" s="102"/>
      <c r="B229" s="102"/>
      <c r="C229" s="102"/>
      <c r="D229" s="102"/>
      <c r="E229" s="102"/>
      <c r="F229" s="102"/>
      <c r="G229" s="102"/>
      <c r="H229" s="102"/>
      <c r="I229" s="102"/>
      <c r="J229" s="102"/>
      <c r="K229" s="102"/>
    </row>
    <row r="230" spans="1:11" ht="15.9" x14ac:dyDescent="0.45">
      <c r="A230" s="102"/>
      <c r="B230" s="102"/>
      <c r="C230" s="102"/>
      <c r="D230" s="102"/>
      <c r="E230" s="102"/>
      <c r="F230" s="102"/>
      <c r="G230" s="102"/>
      <c r="H230" s="102"/>
      <c r="I230" s="102"/>
      <c r="J230" s="102"/>
      <c r="K230" s="102"/>
    </row>
    <row r="231" spans="1:11" ht="15.9" x14ac:dyDescent="0.45">
      <c r="A231" s="102"/>
      <c r="B231" s="102"/>
      <c r="C231" s="102"/>
      <c r="D231" s="102"/>
      <c r="E231" s="102"/>
      <c r="F231" s="102"/>
      <c r="G231" s="102"/>
      <c r="H231" s="102"/>
      <c r="I231" s="102"/>
      <c r="J231" s="102"/>
      <c r="K231" s="102"/>
    </row>
    <row r="232" spans="1:11" ht="15.9" x14ac:dyDescent="0.45">
      <c r="A232" s="102"/>
      <c r="B232" s="102"/>
      <c r="C232" s="102"/>
      <c r="D232" s="102"/>
      <c r="E232" s="102"/>
      <c r="F232" s="102"/>
      <c r="G232" s="102"/>
      <c r="H232" s="102"/>
      <c r="I232" s="102"/>
      <c r="J232" s="102"/>
      <c r="K232" s="102"/>
    </row>
    <row r="233" spans="1:11" ht="15.9" x14ac:dyDescent="0.45">
      <c r="A233" s="102"/>
      <c r="B233" s="102"/>
      <c r="C233" s="102"/>
      <c r="D233" s="102"/>
      <c r="E233" s="102"/>
      <c r="F233" s="102"/>
      <c r="G233" s="102"/>
      <c r="H233" s="102"/>
      <c r="I233" s="102"/>
      <c r="J233" s="102"/>
      <c r="K233" s="102"/>
    </row>
    <row r="234" spans="1:11" ht="15.9" x14ac:dyDescent="0.45">
      <c r="A234" s="102"/>
      <c r="B234" s="102"/>
      <c r="C234" s="102"/>
      <c r="D234" s="102"/>
      <c r="E234" s="102"/>
      <c r="F234" s="102"/>
      <c r="G234" s="102"/>
      <c r="H234" s="102"/>
      <c r="I234" s="102"/>
      <c r="J234" s="102"/>
      <c r="K234" s="102"/>
    </row>
    <row r="235" spans="1:11" ht="15.9" x14ac:dyDescent="0.45">
      <c r="A235" s="102"/>
      <c r="B235" s="102"/>
      <c r="C235" s="102"/>
      <c r="D235" s="102"/>
      <c r="E235" s="102"/>
      <c r="F235" s="102"/>
      <c r="G235" s="102"/>
      <c r="H235" s="102"/>
      <c r="I235" s="102"/>
      <c r="J235" s="102"/>
      <c r="K235" s="102"/>
    </row>
    <row r="236" spans="1:11" ht="15.9" x14ac:dyDescent="0.45">
      <c r="A236" s="102"/>
      <c r="B236" s="102"/>
      <c r="C236" s="102"/>
      <c r="D236" s="102"/>
      <c r="E236" s="102"/>
      <c r="F236" s="102"/>
      <c r="G236" s="102"/>
      <c r="H236" s="102"/>
      <c r="I236" s="102"/>
      <c r="J236" s="102"/>
      <c r="K236" s="102"/>
    </row>
    <row r="237" spans="1:11" ht="15.9" x14ac:dyDescent="0.45">
      <c r="A237" s="102"/>
      <c r="B237" s="102"/>
      <c r="C237" s="102"/>
      <c r="D237" s="102"/>
      <c r="E237" s="102"/>
      <c r="F237" s="102"/>
      <c r="G237" s="102"/>
      <c r="H237" s="102"/>
      <c r="I237" s="102"/>
      <c r="J237" s="102"/>
      <c r="K237" s="102"/>
    </row>
    <row r="238" spans="1:11" ht="15.9" x14ac:dyDescent="0.45">
      <c r="A238" s="102"/>
      <c r="B238" s="102"/>
      <c r="C238" s="102"/>
      <c r="D238" s="102"/>
      <c r="E238" s="102"/>
      <c r="F238" s="102"/>
      <c r="G238" s="102"/>
      <c r="H238" s="102"/>
      <c r="I238" s="102"/>
      <c r="J238" s="102"/>
      <c r="K238" s="102"/>
    </row>
    <row r="239" spans="1:11" ht="15.9" x14ac:dyDescent="0.45">
      <c r="A239" s="102"/>
      <c r="B239" s="102"/>
      <c r="C239" s="102"/>
      <c r="D239" s="102"/>
      <c r="E239" s="102"/>
      <c r="F239" s="102"/>
      <c r="G239" s="102"/>
      <c r="H239" s="102"/>
      <c r="I239" s="102"/>
      <c r="J239" s="102"/>
      <c r="K239" s="102"/>
    </row>
    <row r="240" spans="1:11" ht="15.9" x14ac:dyDescent="0.45">
      <c r="A240" s="102"/>
      <c r="B240" s="102"/>
      <c r="C240" s="102"/>
      <c r="D240" s="102"/>
      <c r="E240" s="102"/>
      <c r="F240" s="102"/>
      <c r="G240" s="102"/>
      <c r="H240" s="102"/>
      <c r="I240" s="102"/>
      <c r="J240" s="102"/>
      <c r="K240" s="102"/>
    </row>
    <row r="241" spans="1:11" ht="15.9" x14ac:dyDescent="0.45">
      <c r="A241" s="102"/>
      <c r="B241" s="102"/>
      <c r="C241" s="102"/>
      <c r="D241" s="102"/>
      <c r="E241" s="102"/>
      <c r="F241" s="102"/>
      <c r="G241" s="102"/>
      <c r="H241" s="102"/>
      <c r="I241" s="102"/>
      <c r="J241" s="102"/>
      <c r="K241" s="102"/>
    </row>
    <row r="242" spans="1:11" ht="15.9" x14ac:dyDescent="0.45">
      <c r="A242" s="102"/>
      <c r="B242" s="102"/>
      <c r="C242" s="102"/>
      <c r="D242" s="102"/>
      <c r="E242" s="102"/>
      <c r="F242" s="102"/>
      <c r="G242" s="102"/>
      <c r="H242" s="102"/>
      <c r="I242" s="102"/>
      <c r="J242" s="102"/>
      <c r="K242" s="102"/>
    </row>
    <row r="243" spans="1:11" ht="15.9" x14ac:dyDescent="0.45">
      <c r="A243" s="102"/>
      <c r="B243" s="102"/>
      <c r="C243" s="102"/>
      <c r="D243" s="102"/>
      <c r="E243" s="102"/>
      <c r="F243" s="102"/>
      <c r="G243" s="102"/>
      <c r="H243" s="102"/>
      <c r="I243" s="102"/>
      <c r="J243" s="102"/>
      <c r="K243" s="102"/>
    </row>
    <row r="244" spans="1:11" ht="15.9" x14ac:dyDescent="0.45">
      <c r="A244" s="102"/>
      <c r="B244" s="102"/>
      <c r="C244" s="102"/>
      <c r="D244" s="102"/>
      <c r="E244" s="102"/>
      <c r="F244" s="102"/>
      <c r="G244" s="102"/>
      <c r="H244" s="102"/>
      <c r="I244" s="102"/>
      <c r="J244" s="102"/>
      <c r="K244" s="102"/>
    </row>
    <row r="245" spans="1:11" ht="15.9" x14ac:dyDescent="0.45">
      <c r="A245" s="102"/>
      <c r="B245" s="102"/>
      <c r="C245" s="102"/>
      <c r="D245" s="102"/>
      <c r="E245" s="102"/>
      <c r="F245" s="102"/>
      <c r="G245" s="102"/>
      <c r="H245" s="102"/>
      <c r="I245" s="102"/>
      <c r="J245" s="102"/>
      <c r="K245" s="102"/>
    </row>
    <row r="246" spans="1:11" ht="15.9" x14ac:dyDescent="0.45">
      <c r="A246" s="102"/>
      <c r="B246" s="102"/>
      <c r="C246" s="102"/>
      <c r="D246" s="102"/>
      <c r="E246" s="102"/>
      <c r="F246" s="102"/>
      <c r="G246" s="102"/>
      <c r="H246" s="102"/>
      <c r="I246" s="102"/>
      <c r="J246" s="102"/>
      <c r="K246" s="102"/>
    </row>
    <row r="247" spans="1:11" ht="15.9" x14ac:dyDescent="0.45">
      <c r="A247" s="102"/>
      <c r="B247" s="102"/>
      <c r="C247" s="102"/>
      <c r="D247" s="102"/>
      <c r="E247" s="102"/>
      <c r="F247" s="102"/>
      <c r="G247" s="102"/>
      <c r="H247" s="102"/>
      <c r="I247" s="102"/>
      <c r="J247" s="102"/>
      <c r="K247" s="102"/>
    </row>
    <row r="248" spans="1:11" ht="15.9" x14ac:dyDescent="0.45">
      <c r="A248" s="102"/>
      <c r="B248" s="102"/>
      <c r="C248" s="102"/>
      <c r="D248" s="102"/>
      <c r="E248" s="102"/>
      <c r="F248" s="102"/>
      <c r="G248" s="102"/>
      <c r="H248" s="102"/>
      <c r="I248" s="102"/>
      <c r="J248" s="102"/>
      <c r="K248" s="102"/>
    </row>
    <row r="249" spans="1:11" ht="15.9" x14ac:dyDescent="0.45">
      <c r="A249" s="102"/>
      <c r="B249" s="102"/>
      <c r="C249" s="102"/>
      <c r="D249" s="102"/>
      <c r="E249" s="102"/>
      <c r="F249" s="102"/>
      <c r="G249" s="102"/>
      <c r="H249" s="102"/>
      <c r="I249" s="102"/>
      <c r="J249" s="102"/>
      <c r="K249" s="102"/>
    </row>
    <row r="250" spans="1:11" ht="15.9" x14ac:dyDescent="0.45">
      <c r="A250" s="102"/>
      <c r="B250" s="102"/>
      <c r="C250" s="102"/>
      <c r="D250" s="102"/>
      <c r="E250" s="102"/>
      <c r="F250" s="102"/>
      <c r="G250" s="102"/>
      <c r="H250" s="102"/>
      <c r="I250" s="102"/>
      <c r="J250" s="102"/>
      <c r="K250" s="102"/>
    </row>
    <row r="251" spans="1:11" ht="15.9" x14ac:dyDescent="0.45">
      <c r="A251" s="102"/>
      <c r="B251" s="102"/>
      <c r="C251" s="102"/>
      <c r="D251" s="102"/>
      <c r="E251" s="102"/>
      <c r="F251" s="102"/>
      <c r="G251" s="102"/>
      <c r="H251" s="102"/>
      <c r="I251" s="102"/>
      <c r="J251" s="102"/>
      <c r="K251" s="102"/>
    </row>
    <row r="252" spans="1:11" ht="15.9" x14ac:dyDescent="0.45">
      <c r="A252" s="102"/>
      <c r="B252" s="102"/>
      <c r="C252" s="102"/>
      <c r="D252" s="102"/>
      <c r="E252" s="102"/>
      <c r="F252" s="102"/>
      <c r="G252" s="102"/>
      <c r="H252" s="102"/>
      <c r="I252" s="102"/>
      <c r="J252" s="102"/>
      <c r="K252" s="102"/>
    </row>
    <row r="253" spans="1:11" ht="15.9" x14ac:dyDescent="0.45">
      <c r="A253" s="102"/>
      <c r="B253" s="102"/>
      <c r="C253" s="102"/>
      <c r="D253" s="102"/>
      <c r="E253" s="102"/>
      <c r="F253" s="102"/>
      <c r="G253" s="102"/>
      <c r="H253" s="102"/>
      <c r="I253" s="102"/>
      <c r="J253" s="102"/>
      <c r="K253" s="102"/>
    </row>
    <row r="254" spans="1:11" ht="15.9" x14ac:dyDescent="0.45">
      <c r="A254" s="102"/>
      <c r="B254" s="102"/>
      <c r="C254" s="102"/>
      <c r="D254" s="102"/>
      <c r="E254" s="102"/>
      <c r="F254" s="102"/>
      <c r="G254" s="102"/>
      <c r="H254" s="102"/>
      <c r="I254" s="102"/>
      <c r="J254" s="102"/>
      <c r="K254" s="102"/>
    </row>
    <row r="255" spans="1:11" ht="15.9" x14ac:dyDescent="0.45">
      <c r="A255" s="102"/>
      <c r="B255" s="102"/>
      <c r="C255" s="102"/>
      <c r="D255" s="102"/>
      <c r="E255" s="102"/>
      <c r="F255" s="102"/>
      <c r="G255" s="102"/>
      <c r="H255" s="102"/>
      <c r="I255" s="102"/>
      <c r="J255" s="102"/>
      <c r="K255" s="102"/>
    </row>
    <row r="256" spans="1:11" ht="15.9" x14ac:dyDescent="0.45">
      <c r="A256" s="102"/>
      <c r="B256" s="102"/>
      <c r="C256" s="102"/>
      <c r="D256" s="102"/>
      <c r="E256" s="102"/>
      <c r="F256" s="102"/>
      <c r="G256" s="102"/>
      <c r="H256" s="102"/>
      <c r="I256" s="102"/>
      <c r="J256" s="102"/>
      <c r="K256" s="102"/>
    </row>
    <row r="257" spans="1:11" ht="15.9" x14ac:dyDescent="0.45">
      <c r="A257" s="102"/>
      <c r="B257" s="102"/>
      <c r="C257" s="102"/>
      <c r="D257" s="102"/>
      <c r="E257" s="102"/>
      <c r="F257" s="102"/>
      <c r="G257" s="102"/>
      <c r="H257" s="102"/>
      <c r="I257" s="102"/>
      <c r="J257" s="102"/>
      <c r="K257" s="102"/>
    </row>
    <row r="258" spans="1:11" ht="15.9" x14ac:dyDescent="0.45">
      <c r="A258" s="102"/>
      <c r="B258" s="102"/>
      <c r="C258" s="102"/>
      <c r="D258" s="102"/>
      <c r="E258" s="102"/>
      <c r="F258" s="102"/>
      <c r="G258" s="102"/>
      <c r="H258" s="102"/>
      <c r="I258" s="102"/>
      <c r="J258" s="102"/>
      <c r="K258" s="102"/>
    </row>
    <row r="259" spans="1:11" ht="15.9" x14ac:dyDescent="0.45">
      <c r="A259" s="102"/>
      <c r="B259" s="102"/>
      <c r="C259" s="102"/>
      <c r="D259" s="102"/>
      <c r="E259" s="102"/>
      <c r="F259" s="102"/>
      <c r="G259" s="102"/>
      <c r="H259" s="102"/>
      <c r="I259" s="102"/>
      <c r="J259" s="102"/>
      <c r="K259" s="102"/>
    </row>
    <row r="260" spans="1:11" ht="15.9" x14ac:dyDescent="0.45">
      <c r="A260" s="102"/>
      <c r="B260" s="102"/>
      <c r="C260" s="102"/>
      <c r="D260" s="102"/>
      <c r="E260" s="102"/>
      <c r="F260" s="102"/>
      <c r="G260" s="102"/>
      <c r="H260" s="102"/>
      <c r="I260" s="102"/>
      <c r="J260" s="102"/>
      <c r="K260" s="102"/>
    </row>
    <row r="261" spans="1:11" ht="15.9" x14ac:dyDescent="0.45">
      <c r="A261" s="102"/>
      <c r="B261" s="102"/>
      <c r="C261" s="102"/>
      <c r="D261" s="102"/>
      <c r="E261" s="102"/>
      <c r="F261" s="102"/>
      <c r="G261" s="102"/>
      <c r="H261" s="102"/>
      <c r="I261" s="102"/>
      <c r="J261" s="102"/>
      <c r="K261" s="102"/>
    </row>
    <row r="262" spans="1:11" ht="15.9" x14ac:dyDescent="0.45">
      <c r="A262" s="102"/>
      <c r="B262" s="102"/>
      <c r="C262" s="102"/>
      <c r="D262" s="102"/>
      <c r="E262" s="102"/>
      <c r="F262" s="102"/>
      <c r="G262" s="102"/>
      <c r="H262" s="102"/>
      <c r="I262" s="102"/>
      <c r="J262" s="102"/>
      <c r="K262" s="102"/>
    </row>
    <row r="263" spans="1:11" ht="15.9" x14ac:dyDescent="0.45">
      <c r="A263" s="102"/>
      <c r="B263" s="102"/>
      <c r="C263" s="102"/>
      <c r="D263" s="102"/>
      <c r="E263" s="102"/>
      <c r="F263" s="102"/>
      <c r="G263" s="102"/>
      <c r="H263" s="102"/>
      <c r="I263" s="102"/>
      <c r="J263" s="102"/>
      <c r="K263" s="102"/>
    </row>
    <row r="264" spans="1:11" ht="15.9" x14ac:dyDescent="0.45">
      <c r="A264" s="102"/>
      <c r="B264" s="102"/>
      <c r="C264" s="102"/>
      <c r="D264" s="102"/>
      <c r="E264" s="102"/>
      <c r="F264" s="102"/>
      <c r="G264" s="102"/>
      <c r="H264" s="102"/>
      <c r="I264" s="102"/>
      <c r="J264" s="102"/>
      <c r="K264" s="102"/>
    </row>
    <row r="265" spans="1:11" ht="15.9" x14ac:dyDescent="0.45">
      <c r="A265" s="102"/>
      <c r="B265" s="102"/>
      <c r="C265" s="102"/>
      <c r="D265" s="102"/>
      <c r="E265" s="102"/>
      <c r="F265" s="102"/>
      <c r="G265" s="102"/>
      <c r="H265" s="102"/>
      <c r="I265" s="102"/>
      <c r="J265" s="102"/>
      <c r="K265" s="102"/>
    </row>
    <row r="266" spans="1:11" ht="15.9" x14ac:dyDescent="0.45">
      <c r="A266" s="102"/>
      <c r="B266" s="102"/>
      <c r="C266" s="102"/>
      <c r="D266" s="102"/>
      <c r="E266" s="102"/>
      <c r="F266" s="102"/>
      <c r="G266" s="102"/>
      <c r="H266" s="102"/>
      <c r="I266" s="102"/>
      <c r="J266" s="102"/>
      <c r="K266" s="102"/>
    </row>
    <row r="267" spans="1:11" ht="15.9" x14ac:dyDescent="0.45">
      <c r="A267" s="102"/>
      <c r="B267" s="102"/>
      <c r="C267" s="102"/>
      <c r="D267" s="102"/>
      <c r="E267" s="102"/>
      <c r="F267" s="102"/>
      <c r="G267" s="102"/>
      <c r="H267" s="102"/>
      <c r="I267" s="102"/>
      <c r="J267" s="102"/>
      <c r="K267" s="102"/>
    </row>
    <row r="268" spans="1:11" ht="15.9" x14ac:dyDescent="0.45">
      <c r="A268" s="102"/>
      <c r="B268" s="102"/>
      <c r="C268" s="102"/>
      <c r="D268" s="102"/>
      <c r="E268" s="102"/>
      <c r="F268" s="102"/>
      <c r="G268" s="102"/>
      <c r="H268" s="102"/>
      <c r="I268" s="102"/>
      <c r="J268" s="102"/>
      <c r="K268" s="102"/>
    </row>
    <row r="269" spans="1:11" ht="15.9" x14ac:dyDescent="0.45">
      <c r="A269" s="102"/>
      <c r="B269" s="102"/>
      <c r="C269" s="102"/>
      <c r="D269" s="102"/>
      <c r="E269" s="102"/>
      <c r="F269" s="102"/>
      <c r="G269" s="102"/>
      <c r="H269" s="102"/>
      <c r="I269" s="102"/>
      <c r="J269" s="102"/>
      <c r="K269" s="102"/>
    </row>
    <row r="270" spans="1:11" ht="15.9" x14ac:dyDescent="0.45">
      <c r="A270" s="102"/>
      <c r="B270" s="102"/>
      <c r="C270" s="102"/>
      <c r="D270" s="102"/>
      <c r="E270" s="102"/>
      <c r="F270" s="102"/>
      <c r="G270" s="102"/>
      <c r="H270" s="102"/>
      <c r="I270" s="102"/>
      <c r="J270" s="102"/>
      <c r="K270" s="102"/>
    </row>
    <row r="271" spans="1:11" ht="15.9" x14ac:dyDescent="0.45">
      <c r="A271" s="102"/>
      <c r="B271" s="102"/>
      <c r="C271" s="102"/>
      <c r="D271" s="102"/>
      <c r="E271" s="102"/>
      <c r="F271" s="102"/>
      <c r="G271" s="102"/>
      <c r="H271" s="102"/>
      <c r="I271" s="102"/>
      <c r="J271" s="102"/>
      <c r="K271" s="102"/>
    </row>
    <row r="272" spans="1:11" ht="15.9" x14ac:dyDescent="0.45">
      <c r="A272" s="102"/>
      <c r="B272" s="102"/>
      <c r="C272" s="102"/>
      <c r="D272" s="102"/>
      <c r="E272" s="102"/>
      <c r="F272" s="102"/>
      <c r="G272" s="102"/>
      <c r="H272" s="102"/>
      <c r="I272" s="102"/>
      <c r="J272" s="102"/>
      <c r="K272" s="102"/>
    </row>
    <row r="273" spans="1:11" ht="15.9" x14ac:dyDescent="0.45">
      <c r="A273" s="102"/>
      <c r="B273" s="102"/>
      <c r="C273" s="102"/>
      <c r="D273" s="102"/>
      <c r="E273" s="102"/>
      <c r="F273" s="102"/>
      <c r="G273" s="102"/>
      <c r="H273" s="102"/>
      <c r="I273" s="102"/>
      <c r="J273" s="102"/>
      <c r="K273" s="102"/>
    </row>
    <row r="274" spans="1:11" ht="15.9" x14ac:dyDescent="0.45">
      <c r="A274" s="102"/>
      <c r="B274" s="102"/>
      <c r="C274" s="102"/>
      <c r="D274" s="102"/>
      <c r="E274" s="102"/>
      <c r="F274" s="102"/>
      <c r="G274" s="102"/>
      <c r="H274" s="102"/>
      <c r="I274" s="102"/>
      <c r="J274" s="102"/>
      <c r="K274" s="102"/>
    </row>
    <row r="275" spans="1:11" ht="15.9" x14ac:dyDescent="0.45">
      <c r="A275" s="102"/>
      <c r="B275" s="102"/>
      <c r="C275" s="102"/>
      <c r="D275" s="102"/>
      <c r="E275" s="102"/>
      <c r="F275" s="102"/>
      <c r="G275" s="102"/>
      <c r="H275" s="102"/>
      <c r="I275" s="102"/>
      <c r="J275" s="102"/>
      <c r="K275" s="102"/>
    </row>
    <row r="276" spans="1:11" ht="15.9" x14ac:dyDescent="0.45">
      <c r="A276" s="102"/>
      <c r="B276" s="102"/>
      <c r="C276" s="102"/>
      <c r="D276" s="102"/>
      <c r="E276" s="102"/>
      <c r="F276" s="102"/>
      <c r="G276" s="102"/>
      <c r="H276" s="102"/>
      <c r="I276" s="102"/>
      <c r="J276" s="102"/>
      <c r="K276" s="102"/>
    </row>
    <row r="277" spans="1:11" ht="15.9" x14ac:dyDescent="0.45">
      <c r="A277" s="102"/>
      <c r="B277" s="102"/>
      <c r="C277" s="102"/>
      <c r="D277" s="102"/>
      <c r="E277" s="102"/>
      <c r="F277" s="102"/>
      <c r="G277" s="102"/>
      <c r="H277" s="102"/>
      <c r="I277" s="102"/>
      <c r="J277" s="102"/>
      <c r="K277" s="102"/>
    </row>
    <row r="278" spans="1:11" ht="15.9" x14ac:dyDescent="0.45">
      <c r="A278" s="102"/>
      <c r="B278" s="102"/>
      <c r="C278" s="102"/>
      <c r="D278" s="102"/>
      <c r="E278" s="102"/>
      <c r="F278" s="102"/>
      <c r="G278" s="102"/>
      <c r="H278" s="102"/>
      <c r="I278" s="102"/>
      <c r="J278" s="102"/>
      <c r="K278" s="102"/>
    </row>
    <row r="279" spans="1:11" ht="15.9" x14ac:dyDescent="0.45">
      <c r="A279" s="102"/>
      <c r="B279" s="102"/>
      <c r="C279" s="102"/>
      <c r="D279" s="102"/>
      <c r="E279" s="102"/>
      <c r="F279" s="102"/>
      <c r="G279" s="102"/>
      <c r="H279" s="102"/>
      <c r="I279" s="102"/>
      <c r="J279" s="102"/>
      <c r="K279" s="102"/>
    </row>
    <row r="280" spans="1:11" ht="15.9" x14ac:dyDescent="0.45">
      <c r="A280" s="102"/>
      <c r="B280" s="102"/>
      <c r="C280" s="102"/>
      <c r="D280" s="102"/>
      <c r="E280" s="102"/>
      <c r="F280" s="102"/>
      <c r="G280" s="102"/>
      <c r="H280" s="102"/>
      <c r="I280" s="102"/>
      <c r="J280" s="102"/>
      <c r="K280" s="102"/>
    </row>
    <row r="281" spans="1:11" ht="15.9" x14ac:dyDescent="0.45">
      <c r="A281" s="102"/>
      <c r="B281" s="102"/>
      <c r="C281" s="102"/>
      <c r="D281" s="102"/>
      <c r="E281" s="102"/>
      <c r="F281" s="102"/>
      <c r="G281" s="102"/>
      <c r="H281" s="102"/>
      <c r="I281" s="102"/>
      <c r="J281" s="102"/>
      <c r="K281" s="102"/>
    </row>
    <row r="282" spans="1:11" ht="15.9" x14ac:dyDescent="0.45">
      <c r="A282" s="102"/>
      <c r="B282" s="102"/>
      <c r="C282" s="102"/>
      <c r="D282" s="102"/>
      <c r="E282" s="102"/>
      <c r="F282" s="102"/>
      <c r="G282" s="102"/>
      <c r="H282" s="102"/>
      <c r="I282" s="102"/>
      <c r="J282" s="102"/>
      <c r="K282" s="102"/>
    </row>
    <row r="283" spans="1:11" ht="15.9" x14ac:dyDescent="0.45">
      <c r="A283" s="102"/>
      <c r="B283" s="102"/>
      <c r="C283" s="102"/>
      <c r="D283" s="102"/>
      <c r="E283" s="102"/>
      <c r="F283" s="102"/>
      <c r="G283" s="102"/>
      <c r="H283" s="102"/>
      <c r="I283" s="102"/>
      <c r="J283" s="102"/>
      <c r="K283" s="102"/>
    </row>
    <row r="284" spans="1:11" ht="15.9" x14ac:dyDescent="0.45">
      <c r="A284" s="102"/>
      <c r="B284" s="102"/>
      <c r="C284" s="102"/>
      <c r="D284" s="102"/>
      <c r="E284" s="102"/>
      <c r="F284" s="102"/>
      <c r="G284" s="102"/>
      <c r="H284" s="102"/>
      <c r="I284" s="102"/>
      <c r="J284" s="102"/>
      <c r="K284" s="102"/>
    </row>
    <row r="285" spans="1:11" ht="15.9" x14ac:dyDescent="0.45">
      <c r="A285" s="102"/>
      <c r="B285" s="102"/>
      <c r="C285" s="102"/>
      <c r="D285" s="102"/>
      <c r="E285" s="102"/>
      <c r="F285" s="102"/>
      <c r="G285" s="102"/>
      <c r="H285" s="102"/>
      <c r="I285" s="102"/>
      <c r="J285" s="102"/>
      <c r="K285" s="102"/>
    </row>
    <row r="286" spans="1:11" ht="15.9" x14ac:dyDescent="0.45">
      <c r="A286" s="102"/>
      <c r="B286" s="102"/>
      <c r="C286" s="102"/>
      <c r="D286" s="102"/>
      <c r="E286" s="102"/>
      <c r="F286" s="102"/>
      <c r="G286" s="102"/>
      <c r="H286" s="102"/>
      <c r="I286" s="102"/>
      <c r="J286" s="102"/>
      <c r="K286" s="102"/>
    </row>
    <row r="287" spans="1:11" ht="15.9" x14ac:dyDescent="0.45">
      <c r="A287" s="102"/>
      <c r="B287" s="102"/>
      <c r="C287" s="102"/>
      <c r="D287" s="102"/>
      <c r="E287" s="102"/>
      <c r="F287" s="102"/>
      <c r="G287" s="102"/>
      <c r="H287" s="102"/>
      <c r="I287" s="102"/>
      <c r="J287" s="102"/>
      <c r="K287" s="102"/>
    </row>
    <row r="288" spans="1:11" ht="15.9" x14ac:dyDescent="0.45">
      <c r="A288" s="102"/>
      <c r="B288" s="102"/>
      <c r="C288" s="102"/>
      <c r="D288" s="102"/>
      <c r="E288" s="102"/>
      <c r="F288" s="102"/>
      <c r="G288" s="102"/>
      <c r="H288" s="102"/>
      <c r="I288" s="102"/>
      <c r="J288" s="102"/>
      <c r="K288" s="102"/>
    </row>
    <row r="289" spans="1:11" ht="15.9" x14ac:dyDescent="0.45">
      <c r="A289" s="102"/>
      <c r="B289" s="102"/>
      <c r="C289" s="102"/>
      <c r="D289" s="102"/>
      <c r="E289" s="102"/>
      <c r="F289" s="102"/>
      <c r="G289" s="102"/>
      <c r="H289" s="102"/>
      <c r="I289" s="102"/>
      <c r="J289" s="102"/>
      <c r="K289" s="102"/>
    </row>
    <row r="290" spans="1:11" ht="15.9" x14ac:dyDescent="0.45">
      <c r="A290" s="102"/>
      <c r="B290" s="102"/>
      <c r="C290" s="102"/>
      <c r="D290" s="102"/>
      <c r="E290" s="102"/>
      <c r="F290" s="102"/>
      <c r="G290" s="102"/>
      <c r="H290" s="102"/>
      <c r="I290" s="102"/>
      <c r="J290" s="102"/>
      <c r="K290" s="102"/>
    </row>
    <row r="291" spans="1:11" ht="15.9" x14ac:dyDescent="0.45">
      <c r="A291" s="102"/>
      <c r="B291" s="102"/>
      <c r="C291" s="102"/>
      <c r="D291" s="102"/>
      <c r="E291" s="102"/>
      <c r="F291" s="102"/>
      <c r="G291" s="102"/>
      <c r="H291" s="102"/>
      <c r="I291" s="102"/>
      <c r="J291" s="102"/>
      <c r="K291" s="102"/>
    </row>
    <row r="292" spans="1:11" ht="15.9" x14ac:dyDescent="0.45">
      <c r="A292" s="102"/>
      <c r="B292" s="102"/>
      <c r="C292" s="102"/>
      <c r="D292" s="102"/>
      <c r="E292" s="102"/>
      <c r="F292" s="102"/>
      <c r="G292" s="102"/>
      <c r="H292" s="102"/>
      <c r="I292" s="102"/>
      <c r="J292" s="102"/>
      <c r="K292" s="102"/>
    </row>
    <row r="293" spans="1:11" ht="15.9" x14ac:dyDescent="0.45">
      <c r="A293" s="102"/>
      <c r="B293" s="102"/>
      <c r="C293" s="102"/>
      <c r="D293" s="102"/>
      <c r="E293" s="102"/>
      <c r="F293" s="102"/>
      <c r="G293" s="102"/>
      <c r="H293" s="102"/>
      <c r="I293" s="102"/>
      <c r="J293" s="102"/>
      <c r="K293" s="102"/>
    </row>
    <row r="294" spans="1:11" ht="15.9" x14ac:dyDescent="0.45">
      <c r="A294" s="102"/>
      <c r="B294" s="102"/>
      <c r="C294" s="102"/>
      <c r="D294" s="102"/>
      <c r="E294" s="102"/>
      <c r="F294" s="102"/>
      <c r="G294" s="102"/>
      <c r="H294" s="102"/>
      <c r="I294" s="102"/>
      <c r="J294" s="102"/>
      <c r="K294" s="102"/>
    </row>
    <row r="295" spans="1:11" ht="15.9" x14ac:dyDescent="0.45">
      <c r="A295" s="102"/>
      <c r="B295" s="102"/>
      <c r="C295" s="102"/>
      <c r="D295" s="102"/>
      <c r="E295" s="102"/>
      <c r="F295" s="102"/>
      <c r="G295" s="102"/>
      <c r="H295" s="102"/>
      <c r="I295" s="102"/>
      <c r="J295" s="102"/>
      <c r="K295" s="102"/>
    </row>
    <row r="296" spans="1:11" ht="15.9" x14ac:dyDescent="0.45">
      <c r="A296" s="102"/>
      <c r="B296" s="102"/>
      <c r="C296" s="102"/>
      <c r="D296" s="102"/>
      <c r="E296" s="102"/>
      <c r="F296" s="102"/>
      <c r="G296" s="102"/>
      <c r="H296" s="102"/>
      <c r="I296" s="102"/>
      <c r="J296" s="102"/>
      <c r="K296" s="102"/>
    </row>
    <row r="297" spans="1:11" ht="15.9" x14ac:dyDescent="0.45">
      <c r="A297" s="102"/>
      <c r="B297" s="102"/>
      <c r="C297" s="102"/>
      <c r="D297" s="102"/>
      <c r="E297" s="102"/>
      <c r="F297" s="102"/>
      <c r="G297" s="102"/>
      <c r="H297" s="102"/>
      <c r="I297" s="102"/>
      <c r="J297" s="102"/>
      <c r="K297" s="102"/>
    </row>
    <row r="298" spans="1:11" ht="15.9" x14ac:dyDescent="0.45">
      <c r="A298" s="102"/>
      <c r="B298" s="102"/>
      <c r="C298" s="102"/>
      <c r="D298" s="102"/>
      <c r="E298" s="102"/>
      <c r="F298" s="102"/>
      <c r="G298" s="102"/>
      <c r="H298" s="102"/>
      <c r="I298" s="102"/>
      <c r="J298" s="102"/>
      <c r="K298" s="102"/>
    </row>
    <row r="299" spans="1:11" ht="15.9" x14ac:dyDescent="0.45">
      <c r="A299" s="102"/>
      <c r="B299" s="102"/>
      <c r="C299" s="102"/>
      <c r="D299" s="102"/>
      <c r="E299" s="102"/>
      <c r="F299" s="102"/>
      <c r="G299" s="102"/>
      <c r="H299" s="102"/>
      <c r="I299" s="102"/>
      <c r="J299" s="102"/>
      <c r="K299" s="102"/>
    </row>
    <row r="300" spans="1:11" ht="15.9" x14ac:dyDescent="0.45">
      <c r="A300" s="102"/>
      <c r="B300" s="102"/>
      <c r="C300" s="102"/>
      <c r="D300" s="102"/>
      <c r="E300" s="102"/>
      <c r="F300" s="102"/>
      <c r="G300" s="102"/>
      <c r="H300" s="102"/>
      <c r="I300" s="102"/>
      <c r="J300" s="102"/>
      <c r="K300" s="102"/>
    </row>
    <row r="301" spans="1:11" ht="15.9" x14ac:dyDescent="0.45">
      <c r="A301" s="102"/>
      <c r="B301" s="102"/>
      <c r="C301" s="102"/>
      <c r="D301" s="102"/>
      <c r="E301" s="102"/>
      <c r="F301" s="102"/>
      <c r="G301" s="102"/>
      <c r="H301" s="102"/>
      <c r="I301" s="102"/>
      <c r="J301" s="102"/>
      <c r="K301" s="102"/>
    </row>
  </sheetData>
  <sheetProtection algorithmName="SHA-512" hashValue="BrwbeIXyPbPlLUdLl9i2yST3IsMv5Mpc7xV44dYrujl1xetrueS4m4/9Q3MXFYSH9XqN9v/r9r0JLg7rWxQ2Yw==" saltValue="YLFqsPp57co0SFY+sNo9vQ==" spinCount="100000" sheet="1" objects="1" scenarios="1"/>
  <conditionalFormatting sqref="H139">
    <cfRule type="cellIs" dxfId="2" priority="1" stopIfTrue="1" operator="equal">
      <formula>$I$141</formula>
    </cfRule>
    <cfRule type="cellIs" dxfId="1" priority="2" stopIfTrue="1" operator="equal">
      <formula>$I$142</formula>
    </cfRule>
    <cfRule type="cellIs" dxfId="0" priority="3" stopIfTrue="1" operator="equal">
      <formula>$I$143</formula>
    </cfRule>
  </conditionalFormatting>
  <hyperlinks>
    <hyperlink ref="D156" r:id="rId1" xr:uid="{E623E0AA-2CE3-497D-B27C-4939A3DA7987}"/>
  </hyperlinks>
  <pageMargins left="0.75" right="0.75" top="1" bottom="1" header="0.5" footer="0.5"/>
  <pageSetup orientation="portrait" r:id="rId2"/>
  <headerFooter alignWithMargins="0">
    <oddHeader xml:space="preserve">&amp;L                                                                        </oddHeader>
    <oddFooter>&amp;CPage -&amp;P-</oddFooter>
  </headerFooter>
  <rowBreaks count="1" manualBreakCount="1">
    <brk id="51" max="16383" man="1"/>
  </row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9ca5a872395d775aaad24c3bbe20b668">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0d11d0cbf4e6a6c99bf7629558a474f1"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A4926D8A-EBD8-4AB9-B02C-AE01AAB3BAB7}"/>
</file>

<file path=customXml/itemProps2.xml><?xml version="1.0" encoding="utf-8"?>
<ds:datastoreItem xmlns:ds="http://schemas.openxmlformats.org/officeDocument/2006/customXml" ds:itemID="{802BD6BB-E3EA-44A3-A880-B36B222DA5CA}"/>
</file>

<file path=customXml/itemProps3.xml><?xml version="1.0" encoding="utf-8"?>
<ds:datastoreItem xmlns:ds="http://schemas.openxmlformats.org/officeDocument/2006/customXml" ds:itemID="{3F2511D6-2327-4959-A64C-101B8935E3B9}"/>
</file>

<file path=customXml/itemProps4.xml><?xml version="1.0" encoding="utf-8"?>
<ds:datastoreItem xmlns:ds="http://schemas.openxmlformats.org/officeDocument/2006/customXml" ds:itemID="{3909BA95-C862-4443-9DFC-E60541D36B2D}"/>
</file>

<file path=docMetadata/LabelInfo.xml><?xml version="1.0" encoding="utf-8"?>
<clbl:labelList xmlns:clbl="http://schemas.microsoft.com/office/2020/mipLabelMetadata">
  <clbl:label id="{034a106e-6316-442c-ad35-738afd673d2b}" enabled="1" method="Standar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214</vt:i4>
      </vt:variant>
    </vt:vector>
  </HeadingPairs>
  <TitlesOfParts>
    <vt:vector size="215" baseType="lpstr">
      <vt:lpstr>STRAW</vt:lpstr>
      <vt:lpstr>STRAW!\0</vt:lpstr>
      <vt:lpstr>STRAW!\a</vt:lpstr>
      <vt:lpstr>STRAW!\e</vt:lpstr>
      <vt:lpstr>STRAW!\h</vt:lpstr>
      <vt:lpstr>STRAW!\m</vt:lpstr>
      <vt:lpstr>STRAW!\n</vt:lpstr>
      <vt:lpstr>STRAW!\p</vt:lpstr>
      <vt:lpstr>STRAW!\s</vt:lpstr>
      <vt:lpstr>STRAW!\t</vt:lpstr>
      <vt:lpstr>STRAW!\u</vt:lpstr>
      <vt:lpstr>STRAW!\z</vt:lpstr>
      <vt:lpstr>STRAW!_DUD7</vt:lpstr>
      <vt:lpstr>STRAW!_ENT1</vt:lpstr>
      <vt:lpstr>STRAW!_ENT2</vt:lpstr>
      <vt:lpstr>STRAW!_ENT3</vt:lpstr>
      <vt:lpstr>STRAW!_ENT4</vt:lpstr>
      <vt:lpstr>STRAW!_ENT5</vt:lpstr>
      <vt:lpstr>STRAW!_ENT6</vt:lpstr>
      <vt:lpstr>STRAW!_ENT7</vt:lpstr>
      <vt:lpstr>STRAW!_ENT8</vt:lpstr>
      <vt:lpstr>STRAW!_XB1</vt:lpstr>
      <vt:lpstr>STRAW!_XB10</vt:lpstr>
      <vt:lpstr>STRAW!_XB11</vt:lpstr>
      <vt:lpstr>STRAW!_XB12</vt:lpstr>
      <vt:lpstr>STRAW!_XB2</vt:lpstr>
      <vt:lpstr>STRAW!_XB3</vt:lpstr>
      <vt:lpstr>STRAW!_XB4</vt:lpstr>
      <vt:lpstr>STRAW!_XB5</vt:lpstr>
      <vt:lpstr>STRAW!_XB6</vt:lpstr>
      <vt:lpstr>STRAW!_XB7</vt:lpstr>
      <vt:lpstr>STRAW!_XB8</vt:lpstr>
      <vt:lpstr>STRAW!_XB9</vt:lpstr>
      <vt:lpstr>STRAW!_XBC1</vt:lpstr>
      <vt:lpstr>STRAW!_XBC10</vt:lpstr>
      <vt:lpstr>STRAW!_XBC11</vt:lpstr>
      <vt:lpstr>STRAW!_XBC12</vt:lpstr>
      <vt:lpstr>STRAW!_XBC2</vt:lpstr>
      <vt:lpstr>STRAW!_XBC3</vt:lpstr>
      <vt:lpstr>STRAW!_XBC4</vt:lpstr>
      <vt:lpstr>STRAW!_XBC5</vt:lpstr>
      <vt:lpstr>STRAW!_XBC6</vt:lpstr>
      <vt:lpstr>STRAW!_XBC7</vt:lpstr>
      <vt:lpstr>STRAW!_XBC8</vt:lpstr>
      <vt:lpstr>STRAW!_XBC9</vt:lpstr>
      <vt:lpstr>STRAW!ALLO</vt:lpstr>
      <vt:lpstr>STRAW!ALLOAC</vt:lpstr>
      <vt:lpstr>STRAW!ALLOAC2</vt:lpstr>
      <vt:lpstr>STRAW!ALLOAC3</vt:lpstr>
      <vt:lpstr>STRAW!ALLOAC4</vt:lpstr>
      <vt:lpstr>STRAW!ALLOAC5</vt:lpstr>
      <vt:lpstr>STRAW!ALLOAC6</vt:lpstr>
      <vt:lpstr>STRAW!ALLOAC7</vt:lpstr>
      <vt:lpstr>STRAW!ALLOAC8</vt:lpstr>
      <vt:lpstr>STRAW!ALLOACEND</vt:lpstr>
      <vt:lpstr>STRAW!ALLOALL</vt:lpstr>
      <vt:lpstr>STRAW!ALLOENTER</vt:lpstr>
      <vt:lpstr>STRAW!ALLOREC</vt:lpstr>
      <vt:lpstr>STRAW!ALLOTOTAL</vt:lpstr>
      <vt:lpstr>STRAW!ALTERNATE</vt:lpstr>
      <vt:lpstr>STRAW!AMARK</vt:lpstr>
      <vt:lpstr>STRAW!ANALNAME</vt:lpstr>
      <vt:lpstr>STRAW!ASSIGN</vt:lpstr>
      <vt:lpstr>STRAW!BACK</vt:lpstr>
      <vt:lpstr>STRAW!BEARDRV</vt:lpstr>
      <vt:lpstr>STRAW!BRINGIN</vt:lpstr>
      <vt:lpstr>STRAW!BRINGINALL</vt:lpstr>
      <vt:lpstr>STRAW!CATTLE</vt:lpstr>
      <vt:lpstr>STRAW!CHOICES</vt:lpstr>
      <vt:lpstr>STRAW!COLE</vt:lpstr>
      <vt:lpstr>STRAW!CORNER</vt:lpstr>
      <vt:lpstr>STRAW!COUNTER</vt:lpstr>
      <vt:lpstr>STRAW!COUNTER2</vt:lpstr>
      <vt:lpstr>STRAW!CRIT</vt:lpstr>
      <vt:lpstr>STRAW!Criteria</vt:lpstr>
      <vt:lpstr>STRAW!Criteria_MI</vt:lpstr>
      <vt:lpstr>STRAW!CROPS</vt:lpstr>
      <vt:lpstr>STRAW!Database</vt:lpstr>
      <vt:lpstr>STRAW!Database_MI</vt:lpstr>
      <vt:lpstr>STRAW!DCHECK</vt:lpstr>
      <vt:lpstr>STRAW!DCNT</vt:lpstr>
      <vt:lpstr>STRAW!DEFAULT</vt:lpstr>
      <vt:lpstr>STRAW!DEPT1</vt:lpstr>
      <vt:lpstr>STRAW!DRIVES</vt:lpstr>
      <vt:lpstr>STRAW!E_1</vt:lpstr>
      <vt:lpstr>STRAW!ECHECK</vt:lpstr>
      <vt:lpstr>STRAW!ENTERPRISE</vt:lpstr>
      <vt:lpstr>STRAW!ENTNAME</vt:lpstr>
      <vt:lpstr>STRAW!ENTNO</vt:lpstr>
      <vt:lpstr>STRAW!ENTS</vt:lpstr>
      <vt:lpstr>STRAW!ERASE</vt:lpstr>
      <vt:lpstr>STRAW!ERRMSG</vt:lpstr>
      <vt:lpstr>STRAW!ESCROUTE</vt:lpstr>
      <vt:lpstr>STRAW!EVERGREEN</vt:lpstr>
      <vt:lpstr>STRAW!EXCLUDE</vt:lpstr>
      <vt:lpstr>STRAW!EXPORT</vt:lpstr>
      <vt:lpstr>STRAW!FARM</vt:lpstr>
      <vt:lpstr>STRAW!FARMNAME</vt:lpstr>
      <vt:lpstr>STRAW!FIELD</vt:lpstr>
      <vt:lpstr>STRAW!FILE_EXT</vt:lpstr>
      <vt:lpstr>STRAW!FILE_PATH</vt:lpstr>
      <vt:lpstr>STRAW!FILEOPS</vt:lpstr>
      <vt:lpstr>STRAW!FNAME</vt:lpstr>
      <vt:lpstr>STRAW!FORAGE</vt:lpstr>
      <vt:lpstr>STRAW!FORMAT</vt:lpstr>
      <vt:lpstr>STRAW!FRUIT</vt:lpstr>
      <vt:lpstr>STRAW!GAFFE10</vt:lpstr>
      <vt:lpstr>STRAW!GAFFE2</vt:lpstr>
      <vt:lpstr>STRAW!GAFFE3</vt:lpstr>
      <vt:lpstr>STRAW!GAFFE4</vt:lpstr>
      <vt:lpstr>STRAW!GAFFE5</vt:lpstr>
      <vt:lpstr>STRAW!GAFFE6</vt:lpstr>
      <vt:lpstr>STRAW!GAFFE7</vt:lpstr>
      <vt:lpstr>STRAW!GAFFE8</vt:lpstr>
      <vt:lpstr>STRAW!GAFFE9</vt:lpstr>
      <vt:lpstr>STRAW!GFRUIT</vt:lpstr>
      <vt:lpstr>STRAW!GOATS</vt:lpstr>
      <vt:lpstr>STRAW!GRAIN</vt:lpstr>
      <vt:lpstr>STRAW!GRAPES</vt:lpstr>
      <vt:lpstr>STRAW!HELP</vt:lpstr>
      <vt:lpstr>STRAW!HORT</vt:lpstr>
      <vt:lpstr>STRAW!ID</vt:lpstr>
      <vt:lpstr>STRAW!IFF</vt:lpstr>
      <vt:lpstr>STRAW!INPUT</vt:lpstr>
      <vt:lpstr>STRAW!JUNK</vt:lpstr>
      <vt:lpstr>STRAW!KEY</vt:lpstr>
      <vt:lpstr>STRAW!KEYLIST</vt:lpstr>
      <vt:lpstr>STRAW!LASTCELL</vt:lpstr>
      <vt:lpstr>STRAW!LCNT</vt:lpstr>
      <vt:lpstr>STRAW!LCOUNT</vt:lpstr>
      <vt:lpstr>STRAW!LINE</vt:lpstr>
      <vt:lpstr>STRAW!LININ</vt:lpstr>
      <vt:lpstr>STRAW!LIVESTOCK</vt:lpstr>
      <vt:lpstr>STRAW!LOAN1</vt:lpstr>
      <vt:lpstr>STRAW!LOGO</vt:lpstr>
      <vt:lpstr>STRAW!MACROBLOCK</vt:lpstr>
      <vt:lpstr>STRAW!MARKER1</vt:lpstr>
      <vt:lpstr>STRAW!MENUBLOCK</vt:lpstr>
      <vt:lpstr>STRAW!MESSAGE</vt:lpstr>
      <vt:lpstr>STRAW!NAME</vt:lpstr>
      <vt:lpstr>STRAW!NO</vt:lpstr>
      <vt:lpstr>STRAW!NOREC</vt:lpstr>
      <vt:lpstr>STRAW!NUMBER</vt:lpstr>
      <vt:lpstr>STRAW!NUR</vt:lpstr>
      <vt:lpstr>STRAW!OILS</vt:lpstr>
      <vt:lpstr>STRAW!OTHER</vt:lpstr>
      <vt:lpstr>STRAW!OTHERLVSTK</vt:lpstr>
      <vt:lpstr>STRAW!OTHERVEG</vt:lpstr>
      <vt:lpstr>STRAW!OTHRFRT</vt:lpstr>
      <vt:lpstr>STRAW!P_ALLO</vt:lpstr>
      <vt:lpstr>STRAW!P_DEP_N</vt:lpstr>
      <vt:lpstr>STRAW!P_LOANS</vt:lpstr>
      <vt:lpstr>STRAW!P_RANGE</vt:lpstr>
      <vt:lpstr>STRAW!P_TRANS</vt:lpstr>
      <vt:lpstr>STRAW!P_WFC</vt:lpstr>
      <vt:lpstr>STRAW!P_WFS</vt:lpstr>
      <vt:lpstr>STRAW!PASSWORD</vt:lpstr>
      <vt:lpstr>STRAW!PCHECK</vt:lpstr>
      <vt:lpstr>STRAW!PEABEAN</vt:lpstr>
      <vt:lpstr>STRAW!PERCENT</vt:lpstr>
      <vt:lpstr>STRAW!PIGS</vt:lpstr>
      <vt:lpstr>STRAW!POULTRY</vt:lpstr>
      <vt:lpstr>STRAW!PREPARE</vt:lpstr>
      <vt:lpstr>STRAW!PREPDATE</vt:lpstr>
      <vt:lpstr>STRAW!PRINT</vt:lpstr>
      <vt:lpstr>STRAW!Print_Area</vt:lpstr>
      <vt:lpstr>STRAW!Print_Area_MI</vt:lpstr>
      <vt:lpstr>STRAW!PRINTALL</vt:lpstr>
      <vt:lpstr>STRAW!PRINTENT</vt:lpstr>
      <vt:lpstr>STRAW!PRINTMENU</vt:lpstr>
      <vt:lpstr>STRAW!PRTCHOICE</vt:lpstr>
      <vt:lpstr>STRAW!PULSES</vt:lpstr>
      <vt:lpstr>STRAW!QCHOICE</vt:lpstr>
      <vt:lpstr>STRAW!RECORD</vt:lpstr>
      <vt:lpstr>STRAW!RET</vt:lpstr>
      <vt:lpstr>STRAW!ROOT</vt:lpstr>
      <vt:lpstr>STRAW!SAVE</vt:lpstr>
      <vt:lpstr>STRAW!SAVE1</vt:lpstr>
      <vt:lpstr>STRAW!SAVE2</vt:lpstr>
      <vt:lpstr>STRAW!SCHOICE</vt:lpstr>
      <vt:lpstr>STRAW!SELECT</vt:lpstr>
      <vt:lpstr>STRAW!SELECTERR</vt:lpstr>
      <vt:lpstr>STRAW!SELECTMSG</vt:lpstr>
      <vt:lpstr>STRAW!SEND</vt:lpstr>
      <vt:lpstr>STRAW!SEND2</vt:lpstr>
      <vt:lpstr>STRAW!SHADE</vt:lpstr>
      <vt:lpstr>STRAW!SHEEP</vt:lpstr>
      <vt:lpstr>STRAW!SHRUB</vt:lpstr>
      <vt:lpstr>STRAWC1</vt:lpstr>
      <vt:lpstr>STRAW!STYPE</vt:lpstr>
      <vt:lpstr>STRAW!SUBR</vt:lpstr>
      <vt:lpstr>STRAW!TCOUNT</vt:lpstr>
      <vt:lpstr>STRAW!TFRUIT</vt:lpstr>
      <vt:lpstr>STRAW!TIMES</vt:lpstr>
      <vt:lpstr>STRAW!TMARK</vt:lpstr>
      <vt:lpstr>STRAW!TO_CELL</vt:lpstr>
      <vt:lpstr>STRAW!TRANS</vt:lpstr>
      <vt:lpstr>STRAW!TRANSF</vt:lpstr>
      <vt:lpstr>STRAW!TREC</vt:lpstr>
      <vt:lpstr>STRAW!UPDATE</vt:lpstr>
      <vt:lpstr>STRAW!VEG</vt:lpstr>
      <vt:lpstr>STRAW!WFARMC</vt:lpstr>
      <vt:lpstr>STRAW!WFARMS</vt:lpstr>
      <vt:lpstr>STRAW!WMARK</vt:lpstr>
      <vt:lpstr>STRAW!WORKDRV</vt:lpstr>
      <vt:lpstr>STRAW!WORKNOS</vt:lpstr>
      <vt:lpstr>STRAW!WORKNUMS</vt:lpstr>
      <vt:lpstr>STRAW!WORKON</vt:lpstr>
      <vt:lpstr>STRAW!XCHOICE</vt:lpstr>
      <vt:lpstr>STRAW!XDATA</vt:lpstr>
      <vt:lpstr>STRAW!XNAME</vt:lpstr>
      <vt:lpstr>STRAW!XSAVE</vt:lpstr>
      <vt:lpstr>STRAW!XSAVE1</vt:lpstr>
      <vt:lpstr>STRAW!XSAVE2</vt:lpstr>
      <vt:lpstr>STRAW!YES</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Strawc2</dc:title>
  <dc:subject>Bear2000</dc:subject>
  <dc:creator>John Molenhuis</dc:creator>
  <cp:lastModifiedBy>Molenhuis, John (OMAFRA)</cp:lastModifiedBy>
  <dcterms:created xsi:type="dcterms:W3CDTF">2000-03-02T00:52:22Z</dcterms:created>
  <dcterms:modified xsi:type="dcterms:W3CDTF">2024-02-08T20:19:58Z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0x01010043842F08D5C4194AB3AA6AD98986A4CA</vt:lpwstr>
  </property>
</Properties>
</file>