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06" windowWidth="15315" windowHeight="4395" activeTab="0"/>
  </bookViews>
  <sheets>
    <sheet name="Avant-Propos" sheetId="1" r:id="rId1"/>
    <sheet name="1. coût de production " sheetId="2" r:id="rId2"/>
    <sheet name="2. Année d'ensemencement" sheetId="3" r:id="rId3"/>
    <sheet name="3. Année de production  " sheetId="4" r:id="rId4"/>
    <sheet name="4. coûts d'entreposage" sheetId="5" r:id="rId5"/>
    <sheet name="5. Coûts de machinerie" sheetId="6" r:id="rId6"/>
    <sheet name="6. Coût relatif au tracteur" sheetId="7" r:id="rId7"/>
    <sheet name="7. Machinerie + tracteur " sheetId="8" r:id="rId8"/>
    <sheet name="8.  tarifs perçus en 2003" sheetId="9" r:id="rId9"/>
  </sheets>
  <definedNames>
    <definedName name="_xlnm.Print_Area" localSheetId="1">'1. coût de production '!$A$1:$I$31</definedName>
    <definedName name="_xlnm.Print_Area" localSheetId="2">'2. Année d''ensemencement'!$A$1:$G$40</definedName>
    <definedName name="_xlnm.Print_Area" localSheetId="3">'3. Année de production  '!$A$1:$F$56</definedName>
    <definedName name="_xlnm.Print_Area" localSheetId="4">'4. coûts d''entreposage'!$A$1:$H$19</definedName>
    <definedName name="_xlnm.Print_Area" localSheetId="7">'7. Machinerie + tracteur '!$B$1:$I$16</definedName>
    <definedName name="_xlnm.Print_Area" localSheetId="8">'8.  tarifs perçus en 2003'!$A$1:$I$429</definedName>
    <definedName name="_xlnm.Print_Area" localSheetId="0">'Avant-Propos'!$A$1:$R$47</definedName>
  </definedNames>
  <calcPr fullCalcOnLoad="1"/>
</workbook>
</file>

<file path=xl/sharedStrings.xml><?xml version="1.0" encoding="utf-8"?>
<sst xmlns="http://schemas.openxmlformats.org/spreadsheetml/2006/main" count="1540" uniqueCount="666">
  <si>
    <t>Explications afférentes au cahier de calcul :</t>
  </si>
  <si>
    <t xml:space="preserve">Il y a habituellement un déficit dans l'année d'ensemencement. Ce déficit est alors reporté </t>
  </si>
  <si>
    <t xml:space="preserve"> à l'année de production. Il faudrait donc inscrire les coûts pour le terrain en question à cette année en particulier.</t>
  </si>
  <si>
    <t>de la mise en balles est aussi rajusté pour être compris dans les coûts finals.</t>
  </si>
  <si>
    <t xml:space="preserve">Diviser ensuite par le transport, le chargement et le déchargement des balles. Par exemple, 42 balles rondes, trois heures pour charger, transporter </t>
  </si>
  <si>
    <t xml:space="preserve">et placer en entreposage. Par exemple, le coût relatif au tracteur de 15 $/h; une personne à 15 $/h, le wagon à 4 $/h. </t>
  </si>
  <si>
    <t>Le coût total par heure est de 15 $ + 15 $ + 4 $ = 34 $ multiplié par 3 heures = 102 $ divisé par 42 balles = 2,42 $/balle</t>
  </si>
  <si>
    <t>plus le % des coûts initiaux relatifs à l'assurance. Il faut aussi ajouter des frais d'intérêt de 5 % (du coût initial) au</t>
  </si>
  <si>
    <t>coût total.</t>
  </si>
  <si>
    <t>Utiliser le coût initial ou la valeur de remplacement pour obtenir une indemnité estimée des coûts d'entreposage.</t>
  </si>
  <si>
    <t>Intérêt</t>
  </si>
  <si>
    <t>% d'amortissement</t>
  </si>
  <si>
    <t>Réparations/entretien</t>
  </si>
  <si>
    <t>Assurance</t>
  </si>
  <si>
    <t>Total</t>
  </si>
  <si>
    <t>Structure en acier</t>
  </si>
  <si>
    <t>Structure en béton</t>
  </si>
  <si>
    <t>Structure en bois</t>
  </si>
  <si>
    <t xml:space="preserve">Par exemple, un entrepôt en bois de 28 000 $ peut entreposer 830 balles rondes de 4'X 5'. Le coût d'entreposage est </t>
  </si>
  <si>
    <t>12 % x 28 000 $ = 3 360 $. Ce montant est alors divisé par le nombre de balles, c.-à-d. 850 dans le présent cas = 3,95 $</t>
  </si>
  <si>
    <t>Cette feuille donnera le coût par livre, par balle, par acre et par tonne impériale.</t>
  </si>
  <si>
    <t>Le coût du combustible est imputé, la graisse est un pourcentage du coût du combustible. Le coût de la ficelle est imputé.</t>
  </si>
  <si>
    <t xml:space="preserve">Fondé sur la fiche d'information « agdex 825 » du MAAARO et d'Alberta Agriculture. Se compose de trois feuilles de calcul qui </t>
  </si>
  <si>
    <t>peuvent être utilisées pour les coûts d'équipement. La feuille 7 donnera le coût total du travail particulier à être effectué.</t>
  </si>
  <si>
    <t xml:space="preserve"> La main-d'œuvre est ajoutée de l'ordre de 15 $/h, si une personne désire inclure les coûts de main-d'oeuvre.</t>
  </si>
  <si>
    <t>La présente feuille de travail est disponible sur Internet à l'adresse suivante :</t>
  </si>
  <si>
    <t>Année d'ensemencement</t>
  </si>
  <si>
    <t>Semis sous couverture</t>
  </si>
  <si>
    <t>Ensemencement direct</t>
  </si>
  <si>
    <t>coût/unité</t>
  </si>
  <si>
    <t>unités/acre</t>
  </si>
  <si>
    <t>$/acre</t>
  </si>
  <si>
    <t>unités</t>
  </si>
  <si>
    <t>Orge</t>
  </si>
  <si>
    <t>Luzerne</t>
  </si>
  <si>
    <t>Phléole</t>
  </si>
  <si>
    <t>Engrais</t>
  </si>
  <si>
    <t>6-24-24</t>
  </si>
  <si>
    <t>0-26-26</t>
  </si>
  <si>
    <t>0-0-62</t>
  </si>
  <si>
    <t>Herbicide</t>
  </si>
  <si>
    <t>Glysophate</t>
  </si>
  <si>
    <t>24D-B</t>
  </si>
  <si>
    <t>Assurance-récolte</t>
  </si>
  <si>
    <t>y</t>
  </si>
  <si>
    <t>Disque</t>
  </si>
  <si>
    <t>Cultivateur</t>
  </si>
  <si>
    <t>Herse</t>
  </si>
  <si>
    <t>Autre préparation de la terre</t>
  </si>
  <si>
    <t>Ensemencement</t>
  </si>
  <si>
    <t>Application de l'herbicide</t>
  </si>
  <si>
    <t>Application de l'engrais</t>
  </si>
  <si>
    <t>Coût des terres</t>
  </si>
  <si>
    <t>Andainage</t>
  </si>
  <si>
    <t>petit carré</t>
  </si>
  <si>
    <t>ronde 4'x4'</t>
  </si>
  <si>
    <t>ensilage (50 %)</t>
  </si>
  <si>
    <t>Coûts totaux</t>
  </si>
  <si>
    <t>Déduire les ventes</t>
  </si>
  <si>
    <t>$/tonne</t>
  </si>
  <si>
    <t>Orge(t)</t>
  </si>
  <si>
    <t>Paille(t)</t>
  </si>
  <si>
    <t>Foin(t)</t>
  </si>
  <si>
    <t>Sous-total</t>
  </si>
  <si>
    <t>Intérêt sur le déficit</t>
  </si>
  <si>
    <t>Déficit total</t>
  </si>
  <si>
    <t>Déficit par année sur douze mois</t>
  </si>
  <si>
    <t>années</t>
  </si>
  <si>
    <t>Année de production-foin</t>
  </si>
  <si>
    <t>Coût/unité</t>
  </si>
  <si>
    <t xml:space="preserve">unités </t>
  </si>
  <si>
    <t># de coupes</t>
  </si>
  <si>
    <t>Rendement du foin</t>
  </si>
  <si>
    <t>lb/acre</t>
  </si>
  <si>
    <t>y/n</t>
  </si>
  <si>
    <t>Loyer foncier/coût des terres</t>
  </si>
  <si>
    <t>Déficit de l'année d'ensemencement</t>
  </si>
  <si>
    <t>Acide (par tonne)</t>
  </si>
  <si>
    <t>tonnes</t>
  </si>
  <si>
    <t>Épandage du fumier (gal.)</t>
  </si>
  <si>
    <t xml:space="preserve">Coût annuel </t>
  </si>
  <si>
    <t>Mise en balles</t>
  </si>
  <si>
    <t># de balles/acre</t>
  </si>
  <si>
    <t>lb foin sec par balle</t>
  </si>
  <si>
    <r>
      <t>pi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/balle</t>
    </r>
  </si>
  <si>
    <t>balles rondes 4"x4'</t>
  </si>
  <si>
    <t>balles rondes 4'x5'</t>
  </si>
  <si>
    <t>balles à envelopper 4x4</t>
  </si>
  <si>
    <t>récolteuse( x par acre)</t>
  </si>
  <si>
    <t>gros carré</t>
  </si>
  <si>
    <t>Chargement, transport, déchargement</t>
  </si>
  <si>
    <t>balles enveloppées de plastique 4x4</t>
  </si>
  <si>
    <t>Entreposage</t>
  </si>
  <si>
    <r>
      <t>densité(lb/pi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</si>
  <si>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s/o</t>
  </si>
  <si>
    <t>Plastique 4'x4'</t>
  </si>
  <si>
    <t>Emballage 4'x4'</t>
  </si>
  <si>
    <t>lb</t>
  </si>
  <si>
    <t>année d'ensemencement - direct ou semis sous couverture</t>
  </si>
  <si>
    <t>u</t>
  </si>
  <si>
    <t>%</t>
  </si>
  <si>
    <t>Poids de l'ensilage enveloppé</t>
  </si>
  <si>
    <t>rendement par acre</t>
  </si>
  <si>
    <t>Coût de la production de foin</t>
  </si>
  <si>
    <t>En champs</t>
  </si>
  <si>
    <t>par acre</t>
  </si>
  <si>
    <t>par tonne impériale</t>
  </si>
  <si>
    <t>par livre</t>
  </si>
  <si>
    <t>par balle</t>
  </si>
  <si>
    <t>enveloppées 4'x4</t>
  </si>
  <si>
    <t>En entreposage</t>
  </si>
  <si>
    <t>foin sur pied</t>
  </si>
  <si>
    <t>Producteur :</t>
  </si>
  <si>
    <t>Si le prix du foin est     =</t>
  </si>
  <si>
    <t>cents/lb</t>
  </si>
  <si>
    <t>Revenu net/acre en entreposage</t>
  </si>
  <si>
    <t>Seuil de rentabilité du rendement</t>
  </si>
  <si>
    <t>Prix de rentabilité</t>
  </si>
  <si>
    <t>équivalent foin</t>
  </si>
  <si>
    <t>Valeur de remplacement</t>
  </si>
  <si>
    <t>largeur</t>
  </si>
  <si>
    <t>longueur</t>
  </si>
  <si>
    <t>Feuille de calcul des coûts de machinerie (sans les coûts relatifs au tracteur)</t>
  </si>
  <si>
    <t>Presse à balles rondes</t>
  </si>
  <si>
    <t>Source : Agdex 825 MAAARO</t>
  </si>
  <si>
    <t>Coût de remplacement</t>
  </si>
  <si>
    <t>Prix d'achat</t>
  </si>
  <si>
    <t>(A)</t>
  </si>
  <si>
    <t>Vie estimée</t>
  </si>
  <si>
    <t>ans (B)</t>
  </si>
  <si>
    <t>Valeur de revente après la vie</t>
  </si>
  <si>
    <t>(C)</t>
  </si>
  <si>
    <t>Taux d'intérêt préférentiel</t>
  </si>
  <si>
    <t>(D)</t>
  </si>
  <si>
    <t>Utilisation annuelle en acres</t>
  </si>
  <si>
    <t>acres</t>
  </si>
  <si>
    <t>Utilisation annuelle en heures</t>
  </si>
  <si>
    <t>heures</t>
  </si>
  <si>
    <t>Nombre de balles produites</t>
  </si>
  <si>
    <t>balles</t>
  </si>
  <si>
    <t>balles par heure</t>
  </si>
  <si>
    <t>Coût de ficelle par balle</t>
  </si>
  <si>
    <t>poids de balle</t>
  </si>
  <si>
    <t>% des coûts de réparation du prix d'achat</t>
  </si>
  <si>
    <t>acres par heure</t>
  </si>
  <si>
    <t>Coûts totaux par année (sans main-d'oeuvre) tirés des données ci-dessous      =</t>
  </si>
  <si>
    <r>
      <t>Avec coûts de main-d'œuvre de</t>
    </r>
    <r>
      <rPr>
        <b/>
        <u val="single"/>
        <sz val="10"/>
        <rFont val="Arial"/>
        <family val="2"/>
      </rPr>
      <t xml:space="preserve"> 15 $/h</t>
    </r>
  </si>
  <si>
    <t>Sans coût de main-d'œuvre</t>
  </si>
  <si>
    <t xml:space="preserve"> Coût par heure*</t>
  </si>
  <si>
    <t xml:space="preserve"> Coût par acre*</t>
  </si>
  <si>
    <t>Coût par balle</t>
  </si>
  <si>
    <t>Estimations des réparations et de l'entretien de l'équipement =</t>
  </si>
  <si>
    <t>@ 3% du coût de remplacement</t>
  </si>
  <si>
    <r>
      <t>*</t>
    </r>
    <r>
      <rPr>
        <sz val="10"/>
        <rFont val="Arial"/>
        <family val="2"/>
      </rPr>
      <t xml:space="preserve"> Le coût de la ficelle s'ajoutera seulement aux coûts de balle. Il faut s'assurer que le coût de la ficelle soit de 0 $ </t>
    </r>
  </si>
  <si>
    <t xml:space="preserve"> au moment de calculer la machinerie autre que la presse.</t>
  </si>
  <si>
    <t>Coûts fixes</t>
  </si>
  <si>
    <t xml:space="preserve">1. Amortissement = </t>
  </si>
  <si>
    <t>(Coût de remplacement - valeur de revente) divisé par la vie estimée =</t>
  </si>
  <si>
    <t xml:space="preserve">2. Intérêt sur l'investissement = </t>
  </si>
  <si>
    <t>=</t>
  </si>
  <si>
    <t>(Nouveau prix d'achat + valeur de revente) divisé par 2  multiplié par le taux d'intérêt =</t>
  </si>
  <si>
    <r>
      <t xml:space="preserve">3. Assurance et bâti = </t>
    </r>
    <r>
      <rPr>
        <sz val="10"/>
        <rFont val="Arial"/>
        <family val="2"/>
      </rPr>
      <t xml:space="preserve"> Prix d'achat multiplié par 1.5 %  =   </t>
    </r>
  </si>
  <si>
    <t xml:space="preserve">Coûts d'exploitation </t>
  </si>
  <si>
    <t>4. Estimations des réparations et de l'entretien par année</t>
  </si>
  <si>
    <t>@ 3% du coût de remplacement         =</t>
  </si>
  <si>
    <t>par heure</t>
  </si>
  <si>
    <t>5. Coût de combustible par heure</t>
  </si>
  <si>
    <t>6. huile, graisse, filtres par heure : 15% des coûts de combustible  =</t>
  </si>
  <si>
    <t>7. Coût de la main d'œuvre par heure à 15 $/h</t>
  </si>
  <si>
    <t>7. Coût d'exploitation par heure</t>
  </si>
  <si>
    <t>8. Coût total des heures utilisées</t>
  </si>
  <si>
    <t>Main-d'œuvre</t>
  </si>
  <si>
    <t>aucune main-d'œuvre</t>
  </si>
  <si>
    <t>9. Coût total pour l'année</t>
  </si>
  <si>
    <t>10. Coût total pour l'année + heures utilisées</t>
  </si>
  <si>
    <t>( ligne 8 + ligne 9 )</t>
  </si>
  <si>
    <t>11. Coûts totaux par heure</t>
  </si>
  <si>
    <t>12 Coûts totaux par acre</t>
  </si>
  <si>
    <t>Feuille de calcul des coûts relatifs au tracteur (sans équipement) :</t>
  </si>
  <si>
    <t>tracteur 1</t>
  </si>
  <si>
    <t xml:space="preserve">Nouveau prix d'achat </t>
  </si>
  <si>
    <t>années (B)</t>
  </si>
  <si>
    <t>Consommation de combustible</t>
  </si>
  <si>
    <t>litres/h</t>
  </si>
  <si>
    <t>Utilisation annuelle</t>
  </si>
  <si>
    <t>Coût de combustible par litre</t>
  </si>
  <si>
    <t>$/litre</t>
  </si>
  <si>
    <t>Tarif de réparation du coût de remplacement</t>
  </si>
  <si>
    <t>Coût total sans main-d'œuvre</t>
  </si>
  <si>
    <t>Avec coût de main-d'œuvre de 15 $/h</t>
  </si>
  <si>
    <t>Coût total par heure</t>
  </si>
  <si>
    <t>Coût total par année</t>
  </si>
  <si>
    <t xml:space="preserve">2. Intéret sur l'investissement = </t>
  </si>
  <si>
    <t>(Nouveau prix d'achat + valeur de revente) divisé par 2 multiplié par le taux d'intérêt =</t>
  </si>
  <si>
    <r>
      <t xml:space="preserve">3. Assurance et bâti = </t>
    </r>
    <r>
      <rPr>
        <sz val="10"/>
        <rFont val="Arial"/>
        <family val="2"/>
      </rPr>
      <t xml:space="preserve"> Prix d'achat multiplié par 1,5 %  =   </t>
    </r>
  </si>
  <si>
    <t>3% multiplié par le coût de remplacement</t>
  </si>
  <si>
    <t>7. Coût de la main-d'œuvre par heure à 15 $/h</t>
  </si>
  <si>
    <t>8. Coût variable pour les heures utilisées</t>
  </si>
  <si>
    <t>9. Coût total des charges fixes + réparations pour l'année</t>
  </si>
  <si>
    <t>plus</t>
  </si>
  <si>
    <t>Taux</t>
  </si>
  <si>
    <t>Équipement</t>
  </si>
  <si>
    <t>Coûts relatifs au tracteur</t>
  </si>
  <si>
    <t>Main-d'oeuvre</t>
  </si>
  <si>
    <t>Aucune main-d'oeuvre</t>
  </si>
  <si>
    <t>Unité</t>
  </si>
  <si>
    <t>Charrue à socs</t>
  </si>
  <si>
    <t>h</t>
  </si>
  <si>
    <t>tonne</t>
  </si>
  <si>
    <t>Maïs</t>
  </si>
  <si>
    <t>Soya</t>
  </si>
  <si>
    <t>Céréales</t>
  </si>
  <si>
    <t>Canola</t>
  </si>
  <si>
    <t>Andainage/conditionnement</t>
  </si>
  <si>
    <t>pi</t>
  </si>
  <si>
    <t>Épandage seulement</t>
  </si>
  <si>
    <t>Chargement et épandage</t>
  </si>
  <si>
    <t>Transport</t>
  </si>
  <si>
    <t>Revisé novembre 2006</t>
  </si>
  <si>
    <t xml:space="preserve">Avant-propos </t>
  </si>
  <si>
    <t>Les coûts sont fondés sur les tarifs d'opérations à forfait. Si on veut utiliser ses propres coûts,</t>
  </si>
  <si>
    <t>il faut utiliser la feuille de calcul des coûts  de machinerie et de tracteur dans le présent cahier de travail.</t>
  </si>
  <si>
    <t>Les nombres sont tous en mesure impériale. La main-d'œuvre est incluse lorsque les tarifs à forfait</t>
  </si>
  <si>
    <t>sont utilisés. Lorsque la main-d'œuvre est imputée aux coûts de machinerie ou de tracteur, la valeur 15 $/h a été utilisée.</t>
  </si>
  <si>
    <t>3. Année de production :</t>
  </si>
  <si>
    <t xml:space="preserve"> 2. Année d'ensemencement :</t>
  </si>
  <si>
    <t>1. Feuille principale - coût de production :</t>
  </si>
  <si>
    <t>La méthode pour calculer les coûts d'entreposage est aussi incluse.</t>
  </si>
  <si>
    <t>L'assurance, le bâtiment et l'intérêt sur l'investissement sont fondés sur le prix d'achat.</t>
  </si>
  <si>
    <t>http://www.omafra.gov.on.ca/french/busdev/download/wksht_hay.htm</t>
  </si>
  <si>
    <t>http://www.omafra.gov.on.ca/french/busdev/downtown.htm</t>
  </si>
  <si>
    <t xml:space="preserve"> ☻Chargement/transport/déchargement : calculer les coûts de la main-d'oeuvre plus le temps de tracteur plus les coûts de wagon.</t>
  </si>
  <si>
    <t xml:space="preserve">c) Le coût d'entreposage est le % d'amortissement multiplié par le coût initial + le % du coût de remplacement des réparations </t>
  </si>
  <si>
    <r>
      <t>☻Les coûts des</t>
    </r>
    <r>
      <rPr>
        <b/>
        <i/>
        <sz val="10"/>
        <rFont val="MS Reference Sans Serif"/>
        <family val="2"/>
      </rPr>
      <t xml:space="preserve"> </t>
    </r>
    <r>
      <rPr>
        <b/>
        <sz val="10"/>
        <rFont val="MS Reference Sans Serif"/>
        <family val="2"/>
      </rPr>
      <t>balles rondes enveloppées de plastique sont calculé. Il faut s'assurer que le coût</t>
    </r>
  </si>
  <si>
    <r>
      <t xml:space="preserve">4. Feuille des coûts d'entreposage : </t>
    </r>
    <r>
      <rPr>
        <b/>
        <sz val="10"/>
        <rFont val="MS Reference Sans Serif"/>
        <family val="2"/>
      </rPr>
      <t>pour différent types de matériaux de construction.</t>
    </r>
  </si>
  <si>
    <r>
      <t xml:space="preserve">Source : </t>
    </r>
    <r>
      <rPr>
        <b/>
        <i/>
        <sz val="10"/>
        <rFont val="MS Reference Sans Serif"/>
        <family val="2"/>
      </rPr>
      <t>REPT NO:88-06 Grain and Forage Crops: Estimated Production Costs Ontario</t>
    </r>
    <r>
      <rPr>
        <b/>
        <sz val="10"/>
        <rFont val="MS Reference Sans Serif"/>
        <family val="2"/>
      </rPr>
      <t xml:space="preserve"> </t>
    </r>
  </si>
  <si>
    <r>
      <t xml:space="preserve">5. Coûts en matière de machinerie : </t>
    </r>
    <r>
      <rPr>
        <b/>
        <sz val="10"/>
        <rFont val="MS Reference Sans Serif"/>
        <family val="2"/>
      </rPr>
      <t>les coûts de réparation et l'amortissement sont fondés sur la valeur de remplacement.</t>
    </r>
  </si>
  <si>
    <r>
      <t>6. Coût relatif au tracteur :</t>
    </r>
    <r>
      <rPr>
        <b/>
        <sz val="10"/>
        <rFont val="MS Reference Sans Serif"/>
        <family val="2"/>
      </rPr>
      <t xml:space="preserve"> peut être utilisé pour les coûts d'équipement ou de tracteur. Le combustible (litre/heure) est imputé.</t>
    </r>
  </si>
  <si>
    <r>
      <t xml:space="preserve">7. Coût d'équipement + coût relatif au tracteur : </t>
    </r>
    <r>
      <rPr>
        <b/>
        <sz val="10"/>
        <rFont val="MS Reference Sans Serif"/>
        <family val="2"/>
      </rPr>
      <t>seront additionnées les feuilles de calcul 5 et 6 des coûts d'équipement plus les coûts relatifs au tracteur.</t>
    </r>
  </si>
  <si>
    <r>
      <t xml:space="preserve">8. </t>
    </r>
    <r>
      <rPr>
        <b/>
        <sz val="11"/>
        <rFont val="MS Reference Sans Serif"/>
        <family val="2"/>
      </rPr>
      <t>Feuille des tarifs d'opérations à forfait de 2003</t>
    </r>
    <r>
      <rPr>
        <b/>
        <sz val="10"/>
        <rFont val="MS Reference Sans Serif"/>
        <family val="2"/>
      </rPr>
      <t>. Elle peut servir de guide.</t>
    </r>
  </si>
  <si>
    <t>Crée par André Lemay MAARO,  1998; revisé en Novembre 2006.</t>
  </si>
  <si>
    <r>
      <t>Loyer foncier</t>
    </r>
    <r>
      <rPr>
        <sz val="8"/>
        <color indexed="8"/>
        <rFont val="Arial"/>
        <family val="2"/>
      </rPr>
      <t xml:space="preserve">(Rendement de l'investissement du terrain) </t>
    </r>
    <r>
      <rPr>
        <b/>
        <sz val="11"/>
        <color indexed="8"/>
        <rFont val="Arial"/>
        <family val="2"/>
      </rPr>
      <t xml:space="preserve">      </t>
    </r>
    <r>
      <rPr>
        <b/>
        <sz val="12"/>
        <color indexed="8"/>
        <rFont val="Arial"/>
        <family val="2"/>
      </rPr>
      <t xml:space="preserve"> $/acre</t>
    </r>
  </si>
  <si>
    <t>Nombre de coupes de foin</t>
  </si>
  <si>
    <t>F.É.*</t>
  </si>
  <si>
    <t>*F.É. : Foin Équivalent</t>
  </si>
  <si>
    <t>mis à jour, novembre  2006</t>
  </si>
  <si>
    <t>En F.É.</t>
  </si>
  <si>
    <t>grosse balle carré</t>
  </si>
  <si>
    <t>petite balle carré</t>
  </si>
  <si>
    <t>Si la facturation se fait par balle et le poids la balle serait</t>
  </si>
  <si>
    <t>Ronde enveloppée (MS)</t>
  </si>
  <si>
    <t xml:space="preserve">enveloppées 4'x4  </t>
  </si>
  <si>
    <t>en F. É.</t>
  </si>
  <si>
    <t>Coût de la production du foin d'après les taux d'opérations sur commande de 2003</t>
  </si>
  <si>
    <t>Semence</t>
  </si>
  <si>
    <t>Labour</t>
  </si>
  <si>
    <t>Cultipacker</t>
  </si>
  <si>
    <t>Combine</t>
  </si>
  <si>
    <t>andainage</t>
  </si>
  <si>
    <t>swath</t>
  </si>
  <si>
    <t>petite carré</t>
  </si>
  <si>
    <t>Chargé-déchargé-transport- paille-foin</t>
  </si>
  <si>
    <t>Entrepôt</t>
  </si>
  <si>
    <t xml:space="preserve">Mise en balle(paille ou </t>
  </si>
  <si>
    <t>foin)</t>
  </si>
  <si>
    <t>11-52-0</t>
  </si>
  <si>
    <t xml:space="preserve">Engrais  </t>
  </si>
  <si>
    <t>Swath</t>
  </si>
  <si>
    <t>grosse carrée</t>
  </si>
  <si>
    <t>petite carrée</t>
  </si>
  <si>
    <t>chargement au transport</t>
  </si>
  <si>
    <t>petite balle carrée</t>
  </si>
  <si>
    <t>grosse balle carrée</t>
  </si>
  <si>
    <t>Silo</t>
  </si>
  <si>
    <t>Source: Economics Information Rept 88-06, ISSN 0708-482X,                       Grain and Forage Crops</t>
  </si>
  <si>
    <t>Estimated Production Costs, Ont 1988</t>
  </si>
  <si>
    <t>Coût original de l'entrepôt</t>
  </si>
  <si>
    <t>Coût par pieds carré</t>
  </si>
  <si>
    <t>Structure d'acier</t>
  </si>
  <si>
    <t>Nombre d'unité entreposée</t>
  </si>
  <si>
    <t>Tonnes haylage</t>
  </si>
  <si>
    <t>% Matière sèche</t>
  </si>
  <si>
    <t>Structure en Ciment</t>
  </si>
  <si>
    <t>nombre de tonnes de foin équivalent</t>
  </si>
  <si>
    <t>Structure en Bois</t>
  </si>
  <si>
    <t>Surface en pieds carrés</t>
  </si>
  <si>
    <t>Estimations des réparations et de l'entretien de l'équipement a 3% du coût de remplacement</t>
  </si>
  <si>
    <t>Avec main-d'oeuvre</t>
  </si>
  <si>
    <t xml:space="preserve"> Équipement + tracteur</t>
  </si>
  <si>
    <t>Sans main-d'oeuvre</t>
  </si>
  <si>
    <t>Coût provenant des feuilles de calcul # 5 et # 6</t>
  </si>
  <si>
    <t>Carl Fletcher - chef de programme, Planification stratégique/MAAO</t>
  </si>
  <si>
    <t>02 mars 2004</t>
  </si>
  <si>
    <t>Provincial</t>
  </si>
  <si>
    <t>Travail du sol</t>
  </si>
  <si>
    <t>Nombre</t>
  </si>
  <si>
    <t>Moy. 2003</t>
  </si>
  <si>
    <t>Percentile 2003</t>
  </si>
  <si>
    <t>Moy. 2000</t>
  </si>
  <si>
    <t>15e</t>
  </si>
  <si>
    <t>85e</t>
  </si>
  <si>
    <t>acre</t>
  </si>
  <si>
    <t>19 $</t>
  </si>
  <si>
    <t>16 $</t>
  </si>
  <si>
    <t>22 $</t>
  </si>
  <si>
    <t>18 $</t>
  </si>
  <si>
    <t>90 $</t>
  </si>
  <si>
    <t>60 $</t>
  </si>
  <si>
    <t>115 $</t>
  </si>
  <si>
    <t>74 $</t>
  </si>
  <si>
    <t>Charrue chisel/déchaumeuse</t>
  </si>
  <si>
    <t>17 $</t>
  </si>
  <si>
    <t>14 $</t>
  </si>
  <si>
    <t>20 $</t>
  </si>
  <si>
    <t>15 $</t>
  </si>
  <si>
    <t>114 $</t>
  </si>
  <si>
    <t>69 $</t>
  </si>
  <si>
    <t>157 $</t>
  </si>
  <si>
    <t>86 $</t>
  </si>
  <si>
    <t>Charrue à disques - labourage</t>
  </si>
  <si>
    <t>12 $</t>
  </si>
  <si>
    <t>9 $</t>
  </si>
  <si>
    <t>11 $</t>
  </si>
  <si>
    <t>112 $</t>
  </si>
  <si>
    <t>67 $</t>
  </si>
  <si>
    <t>150 $</t>
  </si>
  <si>
    <t>80 $</t>
  </si>
  <si>
    <t>Char. à d. - trav. sup. du sol</t>
  </si>
  <si>
    <t>8 $</t>
  </si>
  <si>
    <t>116 $</t>
  </si>
  <si>
    <t>70 $</t>
  </si>
  <si>
    <t>181 $</t>
  </si>
  <si>
    <t>10 $</t>
  </si>
  <si>
    <t>7 $</t>
  </si>
  <si>
    <t>141 $</t>
  </si>
  <si>
    <t>83 $</t>
  </si>
  <si>
    <t>207 $</t>
  </si>
  <si>
    <t>95 $</t>
  </si>
  <si>
    <t>Hersage</t>
  </si>
  <si>
    <t>4 $</t>
  </si>
  <si>
    <t>135 $</t>
  </si>
  <si>
    <t>Travail profond/Sous-soleuse</t>
  </si>
  <si>
    <t>25 $</t>
  </si>
  <si>
    <t>21 $</t>
  </si>
  <si>
    <t>132 $</t>
  </si>
  <si>
    <t>75 $</t>
  </si>
  <si>
    <t>199 $</t>
  </si>
  <si>
    <t>103 $</t>
  </si>
  <si>
    <t>Rouleau</t>
  </si>
  <si>
    <t>5 $</t>
  </si>
  <si>
    <t>3 $</t>
  </si>
  <si>
    <t>6 $</t>
  </si>
  <si>
    <t>111 $</t>
  </si>
  <si>
    <t>71 $</t>
  </si>
  <si>
    <t>140 $</t>
  </si>
  <si>
    <t>Récolte en tiges</t>
  </si>
  <si>
    <t>81 $</t>
  </si>
  <si>
    <t>51 $</t>
  </si>
  <si>
    <t>110 $</t>
  </si>
  <si>
    <t>Semis - Soya</t>
  </si>
  <si>
    <t>15th</t>
  </si>
  <si>
    <t>85th</t>
  </si>
  <si>
    <t>Semoir en lignes standard</t>
  </si>
  <si>
    <t>Interligne de 23 po ou moin</t>
  </si>
  <si>
    <t>152 $</t>
  </si>
  <si>
    <t>78 $</t>
  </si>
  <si>
    <t>206 $</t>
  </si>
  <si>
    <t>Interligne de 24 po ou plus</t>
  </si>
  <si>
    <t>188 $</t>
  </si>
  <si>
    <t>Travail minimum/semis direct</t>
  </si>
  <si>
    <t>Interligne de 23 po ou moins</t>
  </si>
  <si>
    <t>183 $</t>
  </si>
  <si>
    <t>108 $</t>
  </si>
  <si>
    <t>268 $</t>
  </si>
  <si>
    <t>Semoir de précision standard</t>
  </si>
  <si>
    <t>127 $</t>
  </si>
  <si>
    <t>50 $</t>
  </si>
  <si>
    <t>210 $</t>
  </si>
  <si>
    <t>Semis direct</t>
  </si>
  <si>
    <t>159 $</t>
  </si>
  <si>
    <t>106 $</t>
  </si>
  <si>
    <t>200 $</t>
  </si>
  <si>
    <t>Semoir pneum.</t>
  </si>
  <si>
    <t>sans engrais</t>
  </si>
  <si>
    <t>284 $</t>
  </si>
  <si>
    <t>190 $</t>
  </si>
  <si>
    <t>398 $</t>
  </si>
  <si>
    <t>avec engrais</t>
  </si>
  <si>
    <t>360 $</t>
  </si>
  <si>
    <t>209 $</t>
  </si>
  <si>
    <t>512 $</t>
  </si>
  <si>
    <t>Semis - Maïs</t>
  </si>
  <si>
    <t>Interligne de 23 po ou moins avec engrais de démarrage</t>
  </si>
  <si>
    <t>76 $</t>
  </si>
  <si>
    <t>420 $</t>
  </si>
  <si>
    <t>Interligne de 23 po ou moins sans engrais de démarrage</t>
  </si>
  <si>
    <t>130 $</t>
  </si>
  <si>
    <t>72 $</t>
  </si>
  <si>
    <t>avec engrais de démarrage</t>
  </si>
  <si>
    <t>137 $</t>
  </si>
  <si>
    <t>sans engrais de démarrage</t>
  </si>
  <si>
    <t>260 $</t>
  </si>
  <si>
    <t>148 $</t>
  </si>
  <si>
    <t>198 $</t>
  </si>
  <si>
    <t>155 $</t>
  </si>
  <si>
    <t>101 $</t>
  </si>
  <si>
    <t>Semis - Céréales (avoine, orge, blé)</t>
  </si>
  <si>
    <t>Semoir standard</t>
  </si>
  <si>
    <t>13 $</t>
  </si>
  <si>
    <t>93 $</t>
  </si>
  <si>
    <t>113 $</t>
  </si>
  <si>
    <t>171 $</t>
  </si>
  <si>
    <t>170 $</t>
  </si>
  <si>
    <t>120 $</t>
  </si>
  <si>
    <t>24 $</t>
  </si>
  <si>
    <t>105 $</t>
  </si>
  <si>
    <t>249 $</t>
  </si>
  <si>
    <t>271 $</t>
  </si>
  <si>
    <t>368 $</t>
  </si>
  <si>
    <t>257 $</t>
  </si>
  <si>
    <t>179 $</t>
  </si>
  <si>
    <t>362 $</t>
  </si>
  <si>
    <t>Cultures fourragères</t>
  </si>
  <si>
    <t>Semoir en lignes</t>
  </si>
  <si>
    <t>Semoir de type Brillion</t>
  </si>
  <si>
    <t>Épandage centrifuge/VTT</t>
  </si>
  <si>
    <t>65 $</t>
  </si>
  <si>
    <t>40 $</t>
  </si>
  <si>
    <t>Désherbage</t>
  </si>
  <si>
    <t>Herbicide (excluant le coût de l'herbicide)</t>
  </si>
  <si>
    <t>Pulvérisateur traîné</t>
  </si>
  <si>
    <t>91 $</t>
  </si>
  <si>
    <t>300 $</t>
  </si>
  <si>
    <t>Pulvérisateur enjambeur automoteur</t>
  </si>
  <si>
    <t>290 $</t>
  </si>
  <si>
    <t>400 $</t>
  </si>
  <si>
    <t>Supplément pour GPS</t>
  </si>
  <si>
    <t>Pulvér. par voie aérienne (*les tarifs peuvent varier selon la distance jusqu'au champ)</t>
  </si>
  <si>
    <t>Humectation par cordes</t>
  </si>
  <si>
    <t>Mécanique</t>
  </si>
  <si>
    <t>Sarclage des interlignes</t>
  </si>
  <si>
    <t>Houe rotative</t>
  </si>
  <si>
    <t>46 $</t>
  </si>
  <si>
    <t>Épandage d'engrais</t>
  </si>
  <si>
    <t>Épandage d'engrais sec</t>
  </si>
  <si>
    <t>192 $</t>
  </si>
  <si>
    <t>98 $</t>
  </si>
  <si>
    <t>242 $</t>
  </si>
  <si>
    <t>Avec GPS</t>
  </si>
  <si>
    <t>253 $</t>
  </si>
  <si>
    <t>Location d'un semoir à engrais sec en vrac</t>
  </si>
  <si>
    <t>Épandage d'engrais anhydre</t>
  </si>
  <si>
    <t>146 $</t>
  </si>
  <si>
    <t>Épandage d'engr. liquide - sol</t>
  </si>
  <si>
    <t>383 $</t>
  </si>
  <si>
    <t>Épandage d'engrais liquide - bandes latérales</t>
  </si>
  <si>
    <t>88 $</t>
  </si>
  <si>
    <t>44 $</t>
  </si>
  <si>
    <t>Insecticide/fongicide</t>
  </si>
  <si>
    <t>Pulvérisateur à rampe</t>
  </si>
  <si>
    <t>435 $</t>
  </si>
  <si>
    <t>| Haut de la page |</t>
  </si>
  <si>
    <t>Moissonnage-Battage - Sans GPS</t>
  </si>
  <si>
    <t>35 $</t>
  </si>
  <si>
    <t>32 $</t>
  </si>
  <si>
    <t>37 $</t>
  </si>
  <si>
    <t>avec benne à grain</t>
  </si>
  <si>
    <t>225 $</t>
  </si>
  <si>
    <t>299 $</t>
  </si>
  <si>
    <t>34 $</t>
  </si>
  <si>
    <t>30 $</t>
  </si>
  <si>
    <t>36 $</t>
  </si>
  <si>
    <t>sans benne à grain</t>
  </si>
  <si>
    <t>133 $</t>
  </si>
  <si>
    <t>33 $</t>
  </si>
  <si>
    <t>316 $</t>
  </si>
  <si>
    <t>224 $</t>
  </si>
  <si>
    <t>388 $</t>
  </si>
  <si>
    <t>241 $</t>
  </si>
  <si>
    <t>337 $</t>
  </si>
  <si>
    <t>256 $</t>
  </si>
  <si>
    <t>175 $</t>
  </si>
  <si>
    <t>379 $</t>
  </si>
  <si>
    <t>31 $</t>
  </si>
  <si>
    <t>28 $</t>
  </si>
  <si>
    <t>123 $</t>
  </si>
  <si>
    <t>172 $</t>
  </si>
  <si>
    <t>119 $</t>
  </si>
  <si>
    <t>Benne à grain seule</t>
  </si>
  <si>
    <t>57 $</t>
  </si>
  <si>
    <t>43 $</t>
  </si>
  <si>
    <t>Moissonnage - Battage - avec GPS</t>
  </si>
  <si>
    <t>2003 Percentile</t>
  </si>
  <si>
    <t>39 $</t>
  </si>
  <si>
    <t>239 $</t>
  </si>
  <si>
    <t>176 $</t>
  </si>
  <si>
    <t>319 $</t>
  </si>
  <si>
    <t>295 $</t>
  </si>
  <si>
    <t>270 $</t>
  </si>
  <si>
    <t>325 $</t>
  </si>
  <si>
    <t>273 $</t>
  </si>
  <si>
    <t>386 $</t>
  </si>
  <si>
    <t>228 $</t>
  </si>
  <si>
    <t>212 $</t>
  </si>
  <si>
    <t>128 $</t>
  </si>
  <si>
    <t>269 $</t>
  </si>
  <si>
    <t>Récolte d'autres cultures</t>
  </si>
  <si>
    <t>Haricots comestibles</t>
  </si>
  <si>
    <t>26 $</t>
  </si>
  <si>
    <t>27 $</t>
  </si>
  <si>
    <t>Arrach. des haricots + andainage</t>
  </si>
  <si>
    <t>204 $</t>
  </si>
  <si>
    <t>Récolte avec moissonneuse-batteuse à céréales standard</t>
  </si>
  <si>
    <t>266 $</t>
  </si>
  <si>
    <t>160 $</t>
  </si>
  <si>
    <t>45 $</t>
  </si>
  <si>
    <t>56 $</t>
  </si>
  <si>
    <t>Récolte avec moissonneuse-batteuse de type Bob/Lilliston/Pickett</t>
  </si>
  <si>
    <t>243 $</t>
  </si>
  <si>
    <t>Maïs grain humide</t>
  </si>
  <si>
    <t>38 $</t>
  </si>
  <si>
    <t>Moissonnage-battage</t>
  </si>
  <si>
    <t>58 $</t>
  </si>
  <si>
    <t>41 $</t>
  </si>
  <si>
    <t>Moissonnage-battage et transport jusqu'au silo</t>
  </si>
  <si>
    <t>297 $</t>
  </si>
  <si>
    <t>Céréales et oléagineux</t>
  </si>
  <si>
    <t>bu.</t>
  </si>
  <si>
    <t>0.15 $</t>
  </si>
  <si>
    <t>0.12 $</t>
  </si>
  <si>
    <t>0.14 $</t>
  </si>
  <si>
    <t>tonne imp.</t>
  </si>
  <si>
    <t>Récolte des fourrages</t>
  </si>
  <si>
    <t>- Foin</t>
  </si>
  <si>
    <t>80</t>
  </si>
  <si>
    <t>46</t>
  </si>
  <si>
    <t>92 $</t>
  </si>
  <si>
    <t>125 $</t>
  </si>
  <si>
    <t>63 $</t>
  </si>
  <si>
    <t>Râtelage</t>
  </si>
  <si>
    <t>44</t>
  </si>
  <si>
    <t>7</t>
  </si>
  <si>
    <t>52 $</t>
  </si>
  <si>
    <t>Confection des petites balles carrées (en meules)</t>
  </si>
  <si>
    <t>balle</t>
  </si>
  <si>
    <t>14</t>
  </si>
  <si>
    <t>0.52 $</t>
  </si>
  <si>
    <t>0.35 $</t>
  </si>
  <si>
    <t>0.60 $</t>
  </si>
  <si>
    <t>0.54 $</t>
  </si>
  <si>
    <t>Confection des petites balles carrées et ramassage</t>
  </si>
  <si>
    <t>40</t>
  </si>
  <si>
    <t>0.55 $</t>
  </si>
  <si>
    <t>0.70 $</t>
  </si>
  <si>
    <t>Confection de grosses balles carrées</t>
  </si>
  <si>
    <t>27</t>
  </si>
  <si>
    <t>1 $</t>
  </si>
  <si>
    <t>Confection de grosses balles rondes de moins de 1 000 lb</t>
  </si>
  <si>
    <t>74</t>
  </si>
  <si>
    <t>Confection de grosses balles rondes de plus de 1 000 lb</t>
  </si>
  <si>
    <t>33</t>
  </si>
  <si>
    <t>Fauchage et confection de grosses balles rondes</t>
  </si>
  <si>
    <t>5</t>
  </si>
  <si>
    <t>- Enrubannage</t>
  </si>
  <si>
    <t>Individuel</t>
  </si>
  <si>
    <t>12</t>
  </si>
  <si>
    <t>$5</t>
  </si>
  <si>
    <t>$3</t>
  </si>
  <si>
    <t>$8</t>
  </si>
  <si>
    <t>$4</t>
  </si>
  <si>
    <t>Boudin</t>
  </si>
  <si>
    <t>$6</t>
  </si>
  <si>
    <t>Récolte des fourrages - Paille</t>
  </si>
  <si>
    <t>Confection de petites balles carrées et ramassage</t>
  </si>
  <si>
    <t>$0.49</t>
  </si>
  <si>
    <t>$0.32</t>
  </si>
  <si>
    <t>$0.64</t>
  </si>
  <si>
    <t>$1</t>
  </si>
  <si>
    <t>Confection de grosses balles rondes</t>
  </si>
  <si>
    <t>17</t>
  </si>
  <si>
    <t>Confection de grosses balles rondes et filets</t>
  </si>
  <si>
    <t>Récolte des fourrages - Foin mi-fané</t>
  </si>
  <si>
    <t>Récolt. mue par prise de force</t>
  </si>
  <si>
    <t>Fauchage seulement</t>
  </si>
  <si>
    <t>15</t>
  </si>
  <si>
    <t>6</t>
  </si>
  <si>
    <t>Fauchage, ramassage, compactage, soufflage</t>
  </si>
  <si>
    <t>13</t>
  </si>
  <si>
    <t>180 $</t>
  </si>
  <si>
    <t>134 $</t>
  </si>
  <si>
    <t>Récolteuse automotrice</t>
  </si>
  <si>
    <t>3</t>
  </si>
  <si>
    <t>109 $</t>
  </si>
  <si>
    <t>Fauchage seulement -</t>
  </si>
  <si>
    <t>211 $</t>
  </si>
  <si>
    <t>173 $</t>
  </si>
  <si>
    <t>301 $</t>
  </si>
  <si>
    <t>410 $</t>
  </si>
  <si>
    <t>Mise en sacs - 8 pi de diamètre par 150 pi</t>
  </si>
  <si>
    <t>930 $</t>
  </si>
  <si>
    <t>Récolte des fourrages - Ensilage de maïs</t>
  </si>
  <si>
    <t>Récolteuse mue par prise de force</t>
  </si>
  <si>
    <t>139 $</t>
  </si>
  <si>
    <t>100 $</t>
  </si>
  <si>
    <t>59 $</t>
  </si>
  <si>
    <t>99 $</t>
  </si>
  <si>
    <t>195 $</t>
  </si>
  <si>
    <t>4</t>
  </si>
  <si>
    <t>97 $</t>
  </si>
  <si>
    <t>11</t>
  </si>
  <si>
    <t>215 $</t>
  </si>
  <si>
    <t>318 $</t>
  </si>
  <si>
    <t>Récolteuse automotrice avec appareil de transformation des grains</t>
  </si>
  <si>
    <t>294 $</t>
  </si>
  <si>
    <t>384 $</t>
  </si>
  <si>
    <t>Manutention des fumiers</t>
  </si>
  <si>
    <t>Fumier complet (solide)</t>
  </si>
  <si>
    <t>25</t>
  </si>
  <si>
    <t>55 $</t>
  </si>
  <si>
    <t>Chargement seulement</t>
  </si>
  <si>
    <t>20</t>
  </si>
  <si>
    <t>53 $</t>
  </si>
  <si>
    <t>48 $</t>
  </si>
  <si>
    <t>23</t>
  </si>
  <si>
    <t>121 $</t>
  </si>
  <si>
    <t>82 $</t>
  </si>
  <si>
    <t>Lisier (fumier liquide)</t>
  </si>
  <si>
    <t>1 000 gal.</t>
  </si>
  <si>
    <t>10$</t>
  </si>
  <si>
    <t>Aspersion par canon</t>
  </si>
  <si>
    <t>Épandage par injection</t>
  </si>
  <si>
    <t>Tonne - épandage seulement</t>
  </si>
  <si>
    <t>136 $</t>
  </si>
  <si>
    <t>Tonne - injection par couteau</t>
  </si>
  <si>
    <t>151 $</t>
  </si>
  <si>
    <t>96 $</t>
  </si>
  <si>
    <t>Transport par camion</t>
  </si>
  <si>
    <t>Divers</t>
  </si>
  <si>
    <t>Déneigement - chasse-neige</t>
  </si>
  <si>
    <t>62 $</t>
  </si>
  <si>
    <t>Déneigement - souffleuse</t>
  </si>
  <si>
    <t>67</t>
  </si>
  <si>
    <t>73 $</t>
  </si>
  <si>
    <t>66 $</t>
  </si>
  <si>
    <t>Location de tracteurs</t>
  </si>
  <si>
    <t>Conducteur</t>
  </si>
  <si>
    <t>hp/h</t>
  </si>
  <si>
    <t>0.20 $</t>
  </si>
  <si>
    <t>La variance des résultats du questionnaire sont causés par la grandeur et la quatité des équipements.</t>
  </si>
  <si>
    <t>pour plus de renseignements:</t>
  </si>
  <si>
    <t>sans frais: 1 877 424-1300</t>
  </si>
  <si>
    <t>local: (519) 826-4047</t>
  </si>
  <si>
    <t>courriel: ag.info@omaf.gov.on.ca</t>
  </si>
  <si>
    <t>Auteur</t>
  </si>
  <si>
    <t>Qu'est-ce que les percentiles et à quoi servent-ils?</t>
  </si>
  <si>
    <t xml:space="preserve">Enquête sur les tarifs perçus en 2003 pour les travaux agricoles à forfait et la location de matériel </t>
  </si>
  <si>
    <t>Les percentiles servent à montrer l'étendue de la fourchette à l'intérieur de laquelle varient la majorité des tarifs. Par exemple,</t>
  </si>
  <si>
    <t>dans le sommaire provincial, le 15e percentile pour le labourage à l'aide de charrues à socs est de 16 $/acre et le 85e percentile,</t>
  </si>
  <si>
    <t xml:space="preserve"> de 22 $/acre. Cela signifie que 15 % des entrepreneurs ayant répondu demandaient 16 $/acre ou moins et que 15 % </t>
  </si>
  <si>
    <t xml:space="preserve"> demandaient plus de 22 $. Soixante-dix pour cent (85e -15e percentiles) des répondants demandaient entre 16 $ et 22 $/acre</t>
  </si>
  <si>
    <t xml:space="preserve"> Le tarif moyen était donc de 19 $/acre</t>
  </si>
  <si>
    <t>http://www.omafra.gov.on.ca/english/busdev/facts/2000crs/index.html</t>
  </si>
  <si>
    <t>Nombre d'unité entreposée(balles)</t>
  </si>
  <si>
    <t xml:space="preserve">Coût d'entreposage </t>
  </si>
  <si>
    <t>par unité par année</t>
  </si>
  <si>
    <t>balles de foin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</si>
</sst>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#,##0.00\ &quot;$&quot;_);[Red]\(#,##0.00\ &quot;$&quot;\)"/>
    <numFmt numFmtId="166" formatCode="_ * #,##0_)\ &quot;$&quot;_ ;_ * \(#,##0\)\ &quot;$&quot;_ ;_ * &quot;-&quot;_)\ &quot;$&quot;_ ;_ @_ "/>
    <numFmt numFmtId="167" formatCode="_ * #,##0.00_)\ &quot;$&quot;_ ;_ * \(#,##0.00\)\ &quot;$&quot;_ ;_ * &quot;-&quot;??_)\ &quot;$&quot;_ ;_ @_ "/>
    <numFmt numFmtId="168" formatCode="&quot;$&quot;#,##0"/>
    <numFmt numFmtId="169" formatCode="&quot;$&quot;#,##0.00"/>
    <numFmt numFmtId="170" formatCode="0.0"/>
    <numFmt numFmtId="171" formatCode="&quot;$&quot;#,##0.000"/>
    <numFmt numFmtId="172" formatCode="&quot;$&quot;#,##0.0000"/>
    <numFmt numFmtId="173" formatCode="#,##0.000"/>
    <numFmt numFmtId="174" formatCode="_ * #,##0.0000_)\ &quot;$&quot;_ ;_ * \(#,##0.0000\)\ &quot;$&quot;_ ;_ * &quot;-&quot;????_)\ &quot;$&quot;_ ;_ @_ "/>
    <numFmt numFmtId="175" formatCode="_ * #,##0.000_)\ &quot;$&quot;_ ;_ * \(#,##0.000\)\ &quot;$&quot;_ ;_ * &quot;-&quot;???_)\ &quot;$&quot;_ ;_ @_ "/>
    <numFmt numFmtId="176" formatCode="#,##0\ [$$-C0C]"/>
    <numFmt numFmtId="177" formatCode="#,##0.00\ [$$-C0C]"/>
    <numFmt numFmtId="178" formatCode="#,##0.0000\ [$$-C0C]"/>
  </numFmts>
  <fonts count="12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4"/>
      <name val="Arial"/>
      <family val="2"/>
    </font>
    <font>
      <sz val="10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name val="Arial"/>
      <family val="2"/>
    </font>
    <font>
      <b/>
      <sz val="14"/>
      <color indexed="33"/>
      <name val="Arial"/>
      <family val="2"/>
    </font>
    <font>
      <b/>
      <u val="single"/>
      <sz val="12"/>
      <name val="Arial"/>
      <family val="2"/>
    </font>
    <font>
      <b/>
      <sz val="14"/>
      <color indexed="5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16"/>
      <color indexed="56"/>
      <name val="Arial"/>
      <family val="2"/>
    </font>
    <font>
      <b/>
      <sz val="10"/>
      <color indexed="5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b/>
      <sz val="10"/>
      <name val="MS Reference Sans Serif"/>
      <family val="2"/>
    </font>
    <font>
      <b/>
      <u val="single"/>
      <sz val="14"/>
      <name val="MS Reference Sans Serif"/>
      <family val="2"/>
    </font>
    <font>
      <b/>
      <sz val="12"/>
      <name val="MS Reference Sans Serif"/>
      <family val="2"/>
    </font>
    <font>
      <b/>
      <sz val="14"/>
      <name val="MS Reference Sans Serif"/>
      <family val="2"/>
    </font>
    <font>
      <b/>
      <sz val="9"/>
      <name val="MS Reference Sans Serif"/>
      <family val="2"/>
    </font>
    <font>
      <b/>
      <sz val="11"/>
      <name val="MS Reference Sans Serif"/>
      <family val="2"/>
    </font>
    <font>
      <b/>
      <i/>
      <sz val="10"/>
      <name val="MS Reference Sans Serif"/>
      <family val="2"/>
    </font>
    <font>
      <b/>
      <i/>
      <sz val="11"/>
      <name val="MS Reference Sans Serif"/>
      <family val="2"/>
    </font>
    <font>
      <b/>
      <i/>
      <sz val="10"/>
      <color indexed="8"/>
      <name val="MS Reference Sans Serif"/>
      <family val="2"/>
    </font>
    <font>
      <b/>
      <sz val="12"/>
      <color indexed="12"/>
      <name val="MS Reference Sans Serif"/>
      <family val="2"/>
    </font>
    <font>
      <sz val="8"/>
      <color indexed="8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57"/>
      <name val="Arial"/>
      <family val="2"/>
    </font>
    <font>
      <b/>
      <sz val="14"/>
      <color indexed="52"/>
      <name val="Arial"/>
      <family val="2"/>
    </font>
    <font>
      <b/>
      <sz val="14"/>
      <color indexed="14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sz val="9"/>
      <name val="Arial"/>
      <family val="2"/>
    </font>
    <font>
      <b/>
      <sz val="16"/>
      <color indexed="8"/>
      <name val="Courier New"/>
      <family val="3"/>
    </font>
    <font>
      <b/>
      <u val="single"/>
      <sz val="16"/>
      <name val="Courier New"/>
      <family val="3"/>
    </font>
    <font>
      <b/>
      <u val="single"/>
      <sz val="20"/>
      <color indexed="58"/>
      <name val="Arial"/>
      <family val="2"/>
    </font>
    <font>
      <b/>
      <u val="single"/>
      <sz val="16"/>
      <color indexed="8"/>
      <name val="Arial"/>
      <family val="2"/>
    </font>
    <font>
      <b/>
      <u val="single"/>
      <sz val="20"/>
      <name val="Arial"/>
      <family val="2"/>
    </font>
    <font>
      <b/>
      <sz val="20"/>
      <color indexed="8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20"/>
      <name val="Arial"/>
      <family val="2"/>
    </font>
    <font>
      <b/>
      <sz val="20"/>
      <color indexed="18"/>
      <name val="Arial"/>
      <family val="2"/>
    </font>
    <font>
      <b/>
      <sz val="18"/>
      <color indexed="8"/>
      <name val="Courier New"/>
      <family val="3"/>
    </font>
    <font>
      <b/>
      <sz val="12"/>
      <color indexed="12"/>
      <name val="Arial"/>
      <family val="2"/>
    </font>
    <font>
      <b/>
      <sz val="12"/>
      <name val="MS Sans Serif"/>
      <family val="2"/>
    </font>
    <font>
      <b/>
      <i/>
      <sz val="12"/>
      <name val="Arial"/>
      <family val="2"/>
    </font>
    <font>
      <b/>
      <sz val="12"/>
      <name val="Courier New"/>
      <family val="3"/>
    </font>
    <font>
      <sz val="12"/>
      <name val="Courier New"/>
      <family val="3"/>
    </font>
    <font>
      <b/>
      <sz val="12"/>
      <color indexed="12"/>
      <name val="Courier New"/>
      <family val="3"/>
    </font>
    <font>
      <b/>
      <sz val="12"/>
      <color indexed="8"/>
      <name val="Courier New"/>
      <family val="3"/>
    </font>
    <font>
      <b/>
      <i/>
      <sz val="12"/>
      <color indexed="8"/>
      <name val="Courier New"/>
      <family val="3"/>
    </font>
    <font>
      <b/>
      <u val="single"/>
      <sz val="12"/>
      <name val="Courier New"/>
      <family val="3"/>
    </font>
    <font>
      <b/>
      <sz val="11"/>
      <color indexed="12"/>
      <name val="Courier New"/>
      <family val="3"/>
    </font>
    <font>
      <b/>
      <sz val="11"/>
      <name val="Courier New"/>
      <family val="3"/>
    </font>
    <font>
      <sz val="11"/>
      <name val="Courier New"/>
      <family val="3"/>
    </font>
    <font>
      <sz val="12"/>
      <color indexed="8"/>
      <name val="Arial"/>
      <family val="2"/>
    </font>
    <font>
      <sz val="10"/>
      <name val="Courier New"/>
      <family val="3"/>
    </font>
    <font>
      <b/>
      <sz val="10"/>
      <color indexed="8"/>
      <name val="Courier New"/>
      <family val="3"/>
    </font>
    <font>
      <b/>
      <u val="single"/>
      <sz val="14"/>
      <name val="Courier New"/>
      <family val="3"/>
    </font>
    <font>
      <b/>
      <u val="single"/>
      <sz val="14"/>
      <color indexed="8"/>
      <name val="Courier New"/>
      <family val="3"/>
    </font>
    <font>
      <b/>
      <sz val="16"/>
      <name val="Courier New"/>
      <family val="3"/>
    </font>
    <font>
      <b/>
      <u val="single"/>
      <sz val="12"/>
      <color indexed="8"/>
      <name val="Arial"/>
      <family val="2"/>
    </font>
    <font>
      <b/>
      <sz val="16"/>
      <color indexed="63"/>
      <name val="Arial"/>
      <family val="2"/>
    </font>
    <font>
      <b/>
      <sz val="16"/>
      <color indexed="8"/>
      <name val="Arial"/>
      <family val="2"/>
    </font>
    <font>
      <b/>
      <sz val="16"/>
      <color indexed="18"/>
      <name val="Courier New"/>
      <family val="3"/>
    </font>
    <font>
      <sz val="10"/>
      <color indexed="56"/>
      <name val="Arial"/>
      <family val="2"/>
    </font>
    <font>
      <b/>
      <u val="single"/>
      <sz val="14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ck"/>
    </border>
    <border>
      <left style="thick"/>
      <right style="thin"/>
      <top style="thick"/>
      <bottom style="medium"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 style="thick"/>
      <top style="thick"/>
      <bottom/>
    </border>
    <border>
      <left/>
      <right style="thin"/>
      <top/>
      <bottom style="medium"/>
    </border>
    <border>
      <left style="medium"/>
      <right style="thick"/>
      <top style="thick"/>
      <bottom style="medium"/>
    </border>
    <border>
      <left/>
      <right/>
      <top style="thick"/>
      <bottom/>
    </border>
    <border>
      <left style="thick"/>
      <right/>
      <top style="thick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double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double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double"/>
    </border>
    <border>
      <left/>
      <right style="medium"/>
      <top/>
      <bottom style="double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2" fillId="20" borderId="0" applyNumberFormat="0" applyBorder="0" applyAlignment="0" applyProtection="0"/>
    <xf numFmtId="0" fontId="112" fillId="21" borderId="0" applyNumberFormat="0" applyBorder="0" applyAlignment="0" applyProtection="0"/>
    <xf numFmtId="0" fontId="112" fillId="22" borderId="0" applyNumberFormat="0" applyBorder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113" fillId="26" borderId="0" applyNumberFormat="0" applyBorder="0" applyAlignment="0" applyProtection="0"/>
    <xf numFmtId="0" fontId="114" fillId="27" borderId="1" applyNumberFormat="0" applyAlignment="0" applyProtection="0"/>
    <xf numFmtId="0" fontId="11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29" borderId="0" applyNumberFormat="0" applyBorder="0" applyAlignment="0" applyProtection="0"/>
    <xf numFmtId="0" fontId="119" fillId="0" borderId="3" applyNumberFormat="0" applyFill="0" applyAlignment="0" applyProtection="0"/>
    <xf numFmtId="0" fontId="120" fillId="0" borderId="4" applyNumberFormat="0" applyFill="0" applyAlignment="0" applyProtection="0"/>
    <xf numFmtId="0" fontId="121" fillId="0" borderId="5" applyNumberFormat="0" applyFill="0" applyAlignment="0" applyProtection="0"/>
    <xf numFmtId="0" fontId="12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2" fillId="3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3" fillId="0" borderId="6" applyNumberFormat="0" applyFill="0" applyAlignment="0" applyProtection="0"/>
    <xf numFmtId="0" fontId="124" fillId="31" borderId="0" applyNumberFormat="0" applyBorder="0" applyAlignment="0" applyProtection="0"/>
    <xf numFmtId="0" fontId="0" fillId="32" borderId="7" applyNumberFormat="0" applyFont="0" applyAlignment="0" applyProtection="0"/>
    <xf numFmtId="0" fontId="125" fillId="27" borderId="8" applyNumberFormat="0" applyAlignment="0" applyProtection="0"/>
    <xf numFmtId="9" fontId="0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9" applyNumberFormat="0" applyFill="0" applyAlignment="0" applyProtection="0"/>
    <xf numFmtId="0" fontId="128" fillId="0" borderId="0" applyNumberFormat="0" applyFill="0" applyBorder="0" applyAlignment="0" applyProtection="0"/>
  </cellStyleXfs>
  <cellXfs count="57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 applyProtection="1">
      <alignment/>
      <protection locked="0"/>
    </xf>
    <xf numFmtId="169" fontId="6" fillId="0" borderId="0" xfId="0" applyNumberFormat="1" applyFont="1" applyAlignment="1" applyProtection="1">
      <alignment/>
      <protection locked="0"/>
    </xf>
    <xf numFmtId="168" fontId="7" fillId="0" borderId="0" xfId="0" applyNumberFormat="1" applyFont="1" applyAlignment="1" applyProtection="1">
      <alignment/>
      <protection locked="0"/>
    </xf>
    <xf numFmtId="168" fontId="7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2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10" fillId="33" borderId="0" xfId="0" applyFont="1" applyFill="1" applyAlignment="1">
      <alignment horizontal="center"/>
    </xf>
    <xf numFmtId="0" fontId="11" fillId="34" borderId="10" xfId="0" applyFont="1" applyFill="1" applyBorder="1" applyAlignment="1" applyProtection="1">
      <alignment horizontal="center"/>
      <protection locked="0"/>
    </xf>
    <xf numFmtId="0" fontId="15" fillId="35" borderId="0" xfId="0" applyFont="1" applyFill="1" applyAlignment="1">
      <alignment/>
    </xf>
    <xf numFmtId="0" fontId="12" fillId="0" borderId="0" xfId="0" applyFont="1" applyAlignment="1">
      <alignment/>
    </xf>
    <xf numFmtId="9" fontId="10" fillId="33" borderId="0" xfId="0" applyNumberFormat="1" applyFont="1" applyFill="1" applyAlignment="1">
      <alignment horizontal="center"/>
    </xf>
    <xf numFmtId="9" fontId="11" fillId="34" borderId="10" xfId="0" applyNumberFormat="1" applyFont="1" applyFill="1" applyBorder="1" applyAlignment="1" applyProtection="1">
      <alignment horizontal="center"/>
      <protection locked="0"/>
    </xf>
    <xf numFmtId="0" fontId="15" fillId="35" borderId="0" xfId="0" applyFont="1" applyFill="1" applyBorder="1" applyAlignment="1">
      <alignment/>
    </xf>
    <xf numFmtId="0" fontId="15" fillId="35" borderId="0" xfId="0" applyFont="1" applyFill="1" applyAlignment="1">
      <alignment horizontal="right"/>
    </xf>
    <xf numFmtId="0" fontId="12" fillId="35" borderId="0" xfId="0" applyFont="1" applyFill="1" applyAlignment="1">
      <alignment/>
    </xf>
    <xf numFmtId="0" fontId="12" fillId="35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35" borderId="0" xfId="0" applyFont="1" applyFill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35" borderId="0" xfId="0" applyFont="1" applyFill="1" applyAlignment="1">
      <alignment horizontal="center"/>
    </xf>
    <xf numFmtId="0" fontId="10" fillId="33" borderId="0" xfId="0" applyFont="1" applyFill="1" applyAlignment="1">
      <alignment horizontal="centerContinuous"/>
    </xf>
    <xf numFmtId="0" fontId="13" fillId="33" borderId="0" xfId="0" applyFont="1" applyFill="1" applyAlignment="1" quotePrefix="1">
      <alignment horizontal="center"/>
    </xf>
    <xf numFmtId="0" fontId="0" fillId="33" borderId="0" xfId="0" applyFill="1" applyAlignment="1">
      <alignment horizontal="centerContinuous"/>
    </xf>
    <xf numFmtId="168" fontId="14" fillId="34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2" fontId="6" fillId="0" borderId="0" xfId="0" applyNumberFormat="1" applyFont="1" applyAlignment="1" applyProtection="1">
      <alignment/>
      <protection locked="0"/>
    </xf>
    <xf numFmtId="0" fontId="19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 quotePrefix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168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/>
    </xf>
    <xf numFmtId="1" fontId="0" fillId="0" borderId="0" xfId="0" applyNumberFormat="1" applyBorder="1" applyAlignment="1">
      <alignment horizontal="left"/>
    </xf>
    <xf numFmtId="0" fontId="5" fillId="0" borderId="0" xfId="0" applyFon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Font="1" applyAlignment="1" applyProtection="1" quotePrefix="1">
      <alignment horizontal="left"/>
      <protection/>
    </xf>
    <xf numFmtId="0" fontId="1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168" fontId="18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0" fontId="18" fillId="0" borderId="0" xfId="0" applyFont="1" applyAlignment="1" applyProtection="1">
      <alignment horizontal="right"/>
      <protection/>
    </xf>
    <xf numFmtId="0" fontId="2" fillId="0" borderId="0" xfId="0" applyFont="1" applyAlignment="1" applyProtection="1" quotePrefix="1">
      <alignment horizontal="centerContinuous"/>
      <protection/>
    </xf>
    <xf numFmtId="0" fontId="0" fillId="0" borderId="0" xfId="0" applyAlignment="1" applyProtection="1">
      <alignment horizontal="right"/>
      <protection/>
    </xf>
    <xf numFmtId="2" fontId="0" fillId="0" borderId="0" xfId="0" applyNumberFormat="1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2" fillId="0" borderId="0" xfId="0" applyFont="1" applyAlignment="1">
      <alignment/>
    </xf>
    <xf numFmtId="0" fontId="0" fillId="0" borderId="0" xfId="0" applyFill="1" applyBorder="1" applyAlignment="1">
      <alignment/>
    </xf>
    <xf numFmtId="0" fontId="9" fillId="35" borderId="0" xfId="0" applyFont="1" applyFill="1" applyBorder="1" applyAlignment="1">
      <alignment/>
    </xf>
    <xf numFmtId="0" fontId="23" fillId="36" borderId="0" xfId="0" applyFont="1" applyFill="1" applyBorder="1" applyAlignment="1">
      <alignment horizontal="left"/>
    </xf>
    <xf numFmtId="0" fontId="23" fillId="36" borderId="0" xfId="0" applyFont="1" applyFill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0" fillId="35" borderId="0" xfId="0" applyFill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6" fillId="35" borderId="11" xfId="0" applyFont="1" applyFill="1" applyBorder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169" fontId="3" fillId="35" borderId="0" xfId="0" applyNumberFormat="1" applyFont="1" applyFill="1" applyAlignment="1">
      <alignment/>
    </xf>
    <xf numFmtId="0" fontId="26" fillId="35" borderId="0" xfId="0" applyFont="1" applyFill="1" applyAlignment="1" applyProtection="1">
      <alignment/>
      <protection/>
    </xf>
    <xf numFmtId="0" fontId="2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27" fillId="35" borderId="0" xfId="0" applyFont="1" applyFill="1" applyBorder="1" applyAlignment="1">
      <alignment horizontal="centerContinuous"/>
    </xf>
    <xf numFmtId="0" fontId="27" fillId="35" borderId="0" xfId="0" applyFont="1" applyFill="1" applyBorder="1" applyAlignment="1">
      <alignment horizontal="center"/>
    </xf>
    <xf numFmtId="0" fontId="0" fillId="35" borderId="0" xfId="0" applyFill="1" applyAlignment="1" applyProtection="1">
      <alignment/>
      <protection/>
    </xf>
    <xf numFmtId="169" fontId="0" fillId="35" borderId="0" xfId="0" applyNumberFormat="1" applyFill="1" applyAlignment="1">
      <alignment/>
    </xf>
    <xf numFmtId="0" fontId="19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19" fillId="0" borderId="0" xfId="0" applyFont="1" applyAlignment="1" applyProtection="1">
      <alignment/>
      <protection/>
    </xf>
    <xf numFmtId="0" fontId="0" fillId="0" borderId="0" xfId="0" applyAlignment="1" quotePrefix="1">
      <alignment horizontal="left"/>
    </xf>
    <xf numFmtId="0" fontId="28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10" fontId="6" fillId="0" borderId="0" xfId="61" applyNumberFormat="1" applyFont="1" applyBorder="1" applyAlignment="1">
      <alignment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centerContinuous"/>
    </xf>
    <xf numFmtId="0" fontId="30" fillId="35" borderId="0" xfId="0" applyFont="1" applyFill="1" applyBorder="1" applyAlignment="1" applyProtection="1">
      <alignment horizontal="left"/>
      <protection/>
    </xf>
    <xf numFmtId="0" fontId="2" fillId="0" borderId="13" xfId="0" applyFont="1" applyBorder="1" applyAlignment="1">
      <alignment/>
    </xf>
    <xf numFmtId="173" fontId="19" fillId="0" borderId="14" xfId="0" applyNumberFormat="1" applyFont="1" applyBorder="1" applyAlignment="1">
      <alignment/>
    </xf>
    <xf numFmtId="0" fontId="13" fillId="0" borderId="15" xfId="0" applyFont="1" applyBorder="1" applyAlignment="1" applyProtection="1">
      <alignment horizontal="centerContinuous"/>
      <protection/>
    </xf>
    <xf numFmtId="0" fontId="2" fillId="0" borderId="0" xfId="0" applyFont="1" applyBorder="1" applyAlignment="1">
      <alignment/>
    </xf>
    <xf numFmtId="0" fontId="13" fillId="0" borderId="16" xfId="0" applyFont="1" applyBorder="1" applyAlignment="1" applyProtection="1">
      <alignment horizontal="centerContinuous"/>
      <protection/>
    </xf>
    <xf numFmtId="0" fontId="2" fillId="0" borderId="12" xfId="0" applyFont="1" applyBorder="1" applyAlignment="1">
      <alignment/>
    </xf>
    <xf numFmtId="3" fontId="13" fillId="0" borderId="12" xfId="0" applyNumberFormat="1" applyFont="1" applyBorder="1" applyAlignment="1">
      <alignment/>
    </xf>
    <xf numFmtId="0" fontId="31" fillId="0" borderId="10" xfId="0" applyFont="1" applyBorder="1" applyAlignment="1" applyProtection="1">
      <alignment/>
      <protection locked="0"/>
    </xf>
    <xf numFmtId="3" fontId="19" fillId="0" borderId="0" xfId="0" applyNumberFormat="1" applyFont="1" applyBorder="1" applyAlignment="1">
      <alignment horizontal="center"/>
    </xf>
    <xf numFmtId="3" fontId="19" fillId="0" borderId="12" xfId="0" applyNumberFormat="1" applyFont="1" applyBorder="1" applyAlignment="1">
      <alignment horizontal="center"/>
    </xf>
    <xf numFmtId="173" fontId="19" fillId="0" borderId="17" xfId="0" applyNumberFormat="1" applyFont="1" applyBorder="1" applyAlignment="1">
      <alignment horizontal="center"/>
    </xf>
    <xf numFmtId="173" fontId="19" fillId="0" borderId="18" xfId="0" applyNumberFormat="1" applyFont="1" applyBorder="1" applyAlignment="1">
      <alignment horizontal="center"/>
    </xf>
    <xf numFmtId="0" fontId="19" fillId="0" borderId="13" xfId="0" applyFont="1" applyBorder="1" applyAlignment="1">
      <alignment/>
    </xf>
    <xf numFmtId="0" fontId="10" fillId="35" borderId="0" xfId="0" applyFont="1" applyFill="1" applyAlignment="1">
      <alignment/>
    </xf>
    <xf numFmtId="0" fontId="10" fillId="35" borderId="15" xfId="0" applyFont="1" applyFill="1" applyBorder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3" fillId="0" borderId="0" xfId="0" applyFont="1" applyBorder="1" applyAlignment="1">
      <alignment/>
    </xf>
    <xf numFmtId="0" fontId="32" fillId="0" borderId="0" xfId="0" applyFont="1" applyBorder="1" applyAlignment="1">
      <alignment/>
    </xf>
    <xf numFmtId="169" fontId="32" fillId="0" borderId="0" xfId="0" applyNumberFormat="1" applyFont="1" applyBorder="1" applyAlignment="1">
      <alignment/>
    </xf>
    <xf numFmtId="169" fontId="0" fillId="0" borderId="0" xfId="0" applyNumberFormat="1" applyAlignment="1" applyProtection="1">
      <alignment/>
      <protection/>
    </xf>
    <xf numFmtId="0" fontId="13" fillId="35" borderId="0" xfId="0" applyFont="1" applyFill="1" applyBorder="1" applyAlignment="1">
      <alignment/>
    </xf>
    <xf numFmtId="0" fontId="8" fillId="0" borderId="0" xfId="0" applyFont="1" applyAlignment="1" applyProtection="1">
      <alignment horizontal="left"/>
      <protection/>
    </xf>
    <xf numFmtId="0" fontId="36" fillId="0" borderId="0" xfId="0" applyFont="1" applyAlignment="1" applyProtection="1">
      <alignment horizontal="right"/>
      <protection/>
    </xf>
    <xf numFmtId="1" fontId="9" fillId="0" borderId="0" xfId="0" applyNumberFormat="1" applyFont="1" applyAlignment="1" applyProtection="1">
      <alignment/>
      <protection hidden="1"/>
    </xf>
    <xf numFmtId="14" fontId="0" fillId="0" borderId="0" xfId="0" applyNumberFormat="1" applyAlignment="1" applyProtection="1" quotePrefix="1">
      <alignment/>
      <protection/>
    </xf>
    <xf numFmtId="1" fontId="6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hidden="1"/>
    </xf>
    <xf numFmtId="0" fontId="22" fillId="0" borderId="0" xfId="0" applyFont="1" applyBorder="1" applyAlignment="1">
      <alignment/>
    </xf>
    <xf numFmtId="1" fontId="32" fillId="0" borderId="0" xfId="0" applyNumberFormat="1" applyFont="1" applyBorder="1" applyAlignment="1">
      <alignment horizontal="centerContinuous"/>
    </xf>
    <xf numFmtId="0" fontId="2" fillId="0" borderId="0" xfId="0" applyFont="1" applyAlignment="1" applyProtection="1">
      <alignment horizontal="center"/>
      <protection/>
    </xf>
    <xf numFmtId="169" fontId="0" fillId="0" borderId="0" xfId="0" applyNumberFormat="1" applyAlignment="1" applyProtection="1">
      <alignment horizontal="center"/>
      <protection/>
    </xf>
    <xf numFmtId="1" fontId="36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Continuous"/>
      <protection/>
    </xf>
    <xf numFmtId="0" fontId="2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67" fontId="6" fillId="0" borderId="0" xfId="0" applyNumberFormat="1" applyFont="1" applyAlignment="1" applyProtection="1">
      <alignment/>
      <protection locked="0"/>
    </xf>
    <xf numFmtId="167" fontId="3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6" fontId="18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 applyProtection="1">
      <alignment/>
      <protection locked="0"/>
    </xf>
    <xf numFmtId="167" fontId="0" fillId="0" borderId="0" xfId="0" applyNumberFormat="1" applyAlignment="1" applyProtection="1" quotePrefix="1">
      <alignment horizontal="right"/>
      <protection/>
    </xf>
    <xf numFmtId="0" fontId="6" fillId="0" borderId="0" xfId="0" applyNumberFormat="1" applyFont="1" applyAlignment="1" applyProtection="1">
      <alignment/>
      <protection locked="0"/>
    </xf>
    <xf numFmtId="166" fontId="18" fillId="0" borderId="0" xfId="0" applyNumberFormat="1" applyFont="1" applyAlignment="1" applyProtection="1">
      <alignment/>
      <protection/>
    </xf>
    <xf numFmtId="166" fontId="18" fillId="0" borderId="0" xfId="0" applyNumberFormat="1" applyFont="1" applyAlignment="1" applyProtection="1">
      <alignment horizontal="right"/>
      <protection/>
    </xf>
    <xf numFmtId="166" fontId="18" fillId="0" borderId="0" xfId="0" applyNumberFormat="1" applyFont="1" applyAlignment="1" applyProtection="1">
      <alignment/>
      <protection locked="0"/>
    </xf>
    <xf numFmtId="166" fontId="0" fillId="0" borderId="0" xfId="0" applyNumberFormat="1" applyAlignment="1" applyProtection="1">
      <alignment/>
      <protection/>
    </xf>
    <xf numFmtId="167" fontId="18" fillId="0" borderId="0" xfId="44" applyNumberFormat="1" applyFont="1" applyAlignment="1" applyProtection="1">
      <alignment/>
      <protection/>
    </xf>
    <xf numFmtId="167" fontId="36" fillId="0" borderId="0" xfId="44" applyNumberFormat="1" applyFon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5" fontId="6" fillId="0" borderId="0" xfId="0" applyNumberFormat="1" applyFont="1" applyAlignment="1" applyProtection="1">
      <alignment/>
      <protection locked="0"/>
    </xf>
    <xf numFmtId="167" fontId="6" fillId="0" borderId="0" xfId="0" applyNumberFormat="1" applyFont="1" applyAlignment="1" applyProtection="1">
      <alignment horizontal="right"/>
      <protection locked="0"/>
    </xf>
    <xf numFmtId="0" fontId="14" fillId="37" borderId="19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center"/>
    </xf>
    <xf numFmtId="0" fontId="14" fillId="35" borderId="19" xfId="0" applyFont="1" applyFill="1" applyBorder="1" applyAlignment="1">
      <alignment horizontal="center"/>
    </xf>
    <xf numFmtId="168" fontId="14" fillId="35" borderId="0" xfId="0" applyNumberFormat="1" applyFont="1" applyFill="1" applyBorder="1" applyAlignment="1">
      <alignment horizontal="center"/>
    </xf>
    <xf numFmtId="172" fontId="14" fillId="35" borderId="0" xfId="0" applyNumberFormat="1" applyFont="1" applyFill="1" applyBorder="1" applyAlignment="1">
      <alignment horizontal="center"/>
    </xf>
    <xf numFmtId="169" fontId="14" fillId="35" borderId="0" xfId="0" applyNumberFormat="1" applyFont="1" applyFill="1" applyBorder="1" applyAlignment="1">
      <alignment horizontal="center"/>
    </xf>
    <xf numFmtId="171" fontId="14" fillId="37" borderId="20" xfId="0" applyNumberFormat="1" applyFont="1" applyFill="1" applyBorder="1" applyAlignment="1">
      <alignment horizontal="center"/>
    </xf>
    <xf numFmtId="166" fontId="14" fillId="37" borderId="21" xfId="0" applyNumberFormat="1" applyFont="1" applyFill="1" applyBorder="1" applyAlignment="1">
      <alignment horizontal="center"/>
    </xf>
    <xf numFmtId="174" fontId="14" fillId="37" borderId="21" xfId="0" applyNumberFormat="1" applyFont="1" applyFill="1" applyBorder="1" applyAlignment="1">
      <alignment horizontal="center"/>
    </xf>
    <xf numFmtId="175" fontId="14" fillId="37" borderId="21" xfId="0" applyNumberFormat="1" applyFont="1" applyFill="1" applyBorder="1" applyAlignment="1">
      <alignment horizontal="center"/>
    </xf>
    <xf numFmtId="167" fontId="14" fillId="37" borderId="21" xfId="0" applyNumberFormat="1" applyFont="1" applyFill="1" applyBorder="1" applyAlignment="1">
      <alignment horizontal="center"/>
    </xf>
    <xf numFmtId="175" fontId="29" fillId="37" borderId="20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24" fillId="35" borderId="0" xfId="0" applyNumberFormat="1" applyFont="1" applyFill="1" applyBorder="1" applyAlignment="1" applyProtection="1">
      <alignment/>
      <protection/>
    </xf>
    <xf numFmtId="167" fontId="24" fillId="35" borderId="0" xfId="0" applyNumberFormat="1" applyFont="1" applyFill="1" applyAlignment="1" applyProtection="1">
      <alignment/>
      <protection/>
    </xf>
    <xf numFmtId="167" fontId="24" fillId="35" borderId="0" xfId="0" applyNumberFormat="1" applyFont="1" applyFill="1" applyAlignment="1">
      <alignment/>
    </xf>
    <xf numFmtId="0" fontId="40" fillId="0" borderId="0" xfId="0" applyFont="1" applyAlignment="1">
      <alignment/>
    </xf>
    <xf numFmtId="17" fontId="40" fillId="0" borderId="0" xfId="0" applyNumberFormat="1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4" fillId="0" borderId="0" xfId="0" applyFont="1" applyAlignment="1">
      <alignment/>
    </xf>
    <xf numFmtId="0" fontId="40" fillId="35" borderId="0" xfId="0" applyFont="1" applyFill="1" applyAlignment="1">
      <alignment horizontal="center"/>
    </xf>
    <xf numFmtId="0" fontId="40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0" fillId="0" borderId="0" xfId="0" applyFont="1" applyAlignment="1">
      <alignment horizontal="left" indent="1"/>
    </xf>
    <xf numFmtId="0" fontId="40" fillId="0" borderId="0" xfId="0" applyFont="1" applyAlignment="1" quotePrefix="1">
      <alignment horizontal="left"/>
    </xf>
    <xf numFmtId="10" fontId="40" fillId="0" borderId="0" xfId="61" applyNumberFormat="1" applyFont="1" applyAlignment="1">
      <alignment/>
    </xf>
    <xf numFmtId="10" fontId="40" fillId="0" borderId="0" xfId="0" applyNumberFormat="1" applyFont="1" applyAlignment="1">
      <alignment/>
    </xf>
    <xf numFmtId="0" fontId="45" fillId="0" borderId="0" xfId="0" applyFont="1" applyAlignment="1" quotePrefix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1" fontId="10" fillId="35" borderId="0" xfId="0" applyNumberFormat="1" applyFont="1" applyFill="1" applyBorder="1" applyAlignment="1">
      <alignment horizontal="left"/>
    </xf>
    <xf numFmtId="0" fontId="10" fillId="33" borderId="0" xfId="0" applyFont="1" applyFill="1" applyAlignment="1">
      <alignment horizontal="left"/>
    </xf>
    <xf numFmtId="0" fontId="13" fillId="35" borderId="0" xfId="0" applyFont="1" applyFill="1" applyAlignment="1">
      <alignment horizontal="center"/>
    </xf>
    <xf numFmtId="168" fontId="13" fillId="35" borderId="0" xfId="0" applyNumberFormat="1" applyFont="1" applyFill="1" applyAlignment="1">
      <alignment horizontal="center"/>
    </xf>
    <xf numFmtId="169" fontId="13" fillId="35" borderId="0" xfId="0" applyNumberFormat="1" applyFont="1" applyFill="1" applyAlignment="1">
      <alignment horizontal="center"/>
    </xf>
    <xf numFmtId="168" fontId="13" fillId="35" borderId="21" xfId="0" applyNumberFormat="1" applyFont="1" applyFill="1" applyBorder="1" applyAlignment="1">
      <alignment horizontal="center"/>
    </xf>
    <xf numFmtId="172" fontId="13" fillId="35" borderId="21" xfId="0" applyNumberFormat="1" applyFont="1" applyFill="1" applyBorder="1" applyAlignment="1">
      <alignment horizontal="center"/>
    </xf>
    <xf numFmtId="169" fontId="13" fillId="35" borderId="21" xfId="0" applyNumberFormat="1" applyFont="1" applyFill="1" applyBorder="1" applyAlignment="1">
      <alignment horizontal="center"/>
    </xf>
    <xf numFmtId="0" fontId="13" fillId="37" borderId="22" xfId="0" applyFont="1" applyFill="1" applyBorder="1" applyAlignment="1">
      <alignment horizontal="center"/>
    </xf>
    <xf numFmtId="0" fontId="13" fillId="37" borderId="23" xfId="0" applyFont="1" applyFill="1" applyBorder="1" applyAlignment="1">
      <alignment horizontal="center"/>
    </xf>
    <xf numFmtId="166" fontId="13" fillId="37" borderId="21" xfId="0" applyNumberFormat="1" applyFont="1" applyFill="1" applyBorder="1" applyAlignment="1">
      <alignment horizontal="center"/>
    </xf>
    <xf numFmtId="0" fontId="13" fillId="37" borderId="19" xfId="0" applyFont="1" applyFill="1" applyBorder="1" applyAlignment="1">
      <alignment horizontal="center"/>
    </xf>
    <xf numFmtId="0" fontId="25" fillId="33" borderId="0" xfId="0" applyFont="1" applyFill="1" applyAlignment="1">
      <alignment horizontal="left"/>
    </xf>
    <xf numFmtId="176" fontId="11" fillId="34" borderId="10" xfId="44" applyNumberFormat="1" applyFont="1" applyFill="1" applyBorder="1" applyAlignment="1" applyProtection="1">
      <alignment horizontal="center"/>
      <protection locked="0"/>
    </xf>
    <xf numFmtId="174" fontId="13" fillId="37" borderId="22" xfId="0" applyNumberFormat="1" applyFont="1" applyFill="1" applyBorder="1" applyAlignment="1">
      <alignment horizontal="center"/>
    </xf>
    <xf numFmtId="169" fontId="13" fillId="37" borderId="10" xfId="0" applyNumberFormat="1" applyFont="1" applyFill="1" applyBorder="1" applyAlignment="1">
      <alignment horizontal="center"/>
    </xf>
    <xf numFmtId="0" fontId="15" fillId="35" borderId="10" xfId="0" applyFont="1" applyFill="1" applyBorder="1" applyAlignment="1">
      <alignment/>
    </xf>
    <xf numFmtId="168" fontId="19" fillId="35" borderId="21" xfId="0" applyNumberFormat="1" applyFont="1" applyFill="1" applyBorder="1" applyAlignment="1">
      <alignment horizontal="center"/>
    </xf>
    <xf numFmtId="0" fontId="5" fillId="37" borderId="19" xfId="0" applyFont="1" applyFill="1" applyBorder="1" applyAlignment="1">
      <alignment horizontal="center"/>
    </xf>
    <xf numFmtId="166" fontId="11" fillId="37" borderId="21" xfId="0" applyNumberFormat="1" applyFont="1" applyFill="1" applyBorder="1" applyAlignment="1">
      <alignment horizontal="center"/>
    </xf>
    <xf numFmtId="174" fontId="11" fillId="37" borderId="21" xfId="0" applyNumberFormat="1" applyFont="1" applyFill="1" applyBorder="1" applyAlignment="1">
      <alignment horizontal="center"/>
    </xf>
    <xf numFmtId="169" fontId="11" fillId="37" borderId="21" xfId="0" applyNumberFormat="1" applyFont="1" applyFill="1" applyBorder="1" applyAlignment="1">
      <alignment horizontal="center"/>
    </xf>
    <xf numFmtId="166" fontId="51" fillId="37" borderId="21" xfId="0" applyNumberFormat="1" applyFont="1" applyFill="1" applyBorder="1" applyAlignment="1">
      <alignment horizontal="center"/>
    </xf>
    <xf numFmtId="174" fontId="51" fillId="37" borderId="21" xfId="0" applyNumberFormat="1" applyFont="1" applyFill="1" applyBorder="1" applyAlignment="1">
      <alignment horizontal="center"/>
    </xf>
    <xf numFmtId="169" fontId="51" fillId="37" borderId="21" xfId="0" applyNumberFormat="1" applyFont="1" applyFill="1" applyBorder="1" applyAlignment="1">
      <alignment horizontal="center"/>
    </xf>
    <xf numFmtId="166" fontId="14" fillId="37" borderId="21" xfId="0" applyNumberFormat="1" applyFont="1" applyFill="1" applyBorder="1" applyAlignment="1" applyProtection="1">
      <alignment horizontal="center"/>
      <protection hidden="1"/>
    </xf>
    <xf numFmtId="169" fontId="14" fillId="37" borderId="21" xfId="0" applyNumberFormat="1" applyFont="1" applyFill="1" applyBorder="1" applyAlignment="1">
      <alignment horizontal="center"/>
    </xf>
    <xf numFmtId="166" fontId="52" fillId="37" borderId="21" xfId="0" applyNumberFormat="1" applyFont="1" applyFill="1" applyBorder="1" applyAlignment="1">
      <alignment horizontal="center"/>
    </xf>
    <xf numFmtId="174" fontId="52" fillId="37" borderId="21" xfId="0" applyNumberFormat="1" applyFont="1" applyFill="1" applyBorder="1" applyAlignment="1">
      <alignment horizontal="center"/>
    </xf>
    <xf numFmtId="169" fontId="52" fillId="37" borderId="24" xfId="0" applyNumberFormat="1" applyFont="1" applyFill="1" applyBorder="1" applyAlignment="1">
      <alignment horizontal="center"/>
    </xf>
    <xf numFmtId="168" fontId="13" fillId="35" borderId="0" xfId="0" applyNumberFormat="1" applyFont="1" applyFill="1" applyBorder="1" applyAlignment="1">
      <alignment horizontal="center"/>
    </xf>
    <xf numFmtId="175" fontId="11" fillId="37" borderId="21" xfId="0" applyNumberFormat="1" applyFont="1" applyFill="1" applyBorder="1" applyAlignment="1">
      <alignment horizontal="center"/>
    </xf>
    <xf numFmtId="167" fontId="11" fillId="37" borderId="21" xfId="0" applyNumberFormat="1" applyFont="1" applyFill="1" applyBorder="1" applyAlignment="1">
      <alignment horizontal="center"/>
    </xf>
    <xf numFmtId="166" fontId="53" fillId="37" borderId="21" xfId="0" applyNumberFormat="1" applyFont="1" applyFill="1" applyBorder="1" applyAlignment="1">
      <alignment horizontal="center"/>
    </xf>
    <xf numFmtId="174" fontId="53" fillId="37" borderId="21" xfId="0" applyNumberFormat="1" applyFont="1" applyFill="1" applyBorder="1" applyAlignment="1">
      <alignment horizontal="center"/>
    </xf>
    <xf numFmtId="167" fontId="53" fillId="37" borderId="21" xfId="0" applyNumberFormat="1" applyFont="1" applyFill="1" applyBorder="1" applyAlignment="1">
      <alignment horizontal="center"/>
    </xf>
    <xf numFmtId="166" fontId="54" fillId="37" borderId="21" xfId="0" applyNumberFormat="1" applyFont="1" applyFill="1" applyBorder="1" applyAlignment="1">
      <alignment horizontal="center"/>
    </xf>
    <xf numFmtId="175" fontId="54" fillId="37" borderId="21" xfId="0" applyNumberFormat="1" applyFont="1" applyFill="1" applyBorder="1" applyAlignment="1">
      <alignment horizontal="center"/>
    </xf>
    <xf numFmtId="167" fontId="54" fillId="37" borderId="21" xfId="0" applyNumberFormat="1" applyFont="1" applyFill="1" applyBorder="1" applyAlignment="1">
      <alignment horizontal="center"/>
    </xf>
    <xf numFmtId="175" fontId="13" fillId="37" borderId="21" xfId="0" applyNumberFormat="1" applyFont="1" applyFill="1" applyBorder="1" applyAlignment="1">
      <alignment horizontal="center"/>
    </xf>
    <xf numFmtId="167" fontId="13" fillId="37" borderId="21" xfId="0" applyNumberFormat="1" applyFont="1" applyFill="1" applyBorder="1" applyAlignment="1">
      <alignment horizontal="center"/>
    </xf>
    <xf numFmtId="166" fontId="55" fillId="37" borderId="10" xfId="0" applyNumberFormat="1" applyFont="1" applyFill="1" applyBorder="1" applyAlignment="1">
      <alignment horizontal="center"/>
    </xf>
    <xf numFmtId="174" fontId="55" fillId="37" borderId="21" xfId="0" applyNumberFormat="1" applyFont="1" applyFill="1" applyBorder="1" applyAlignment="1">
      <alignment horizontal="center"/>
    </xf>
    <xf numFmtId="0" fontId="34" fillId="0" borderId="12" xfId="0" applyFont="1" applyBorder="1" applyAlignment="1" applyProtection="1">
      <alignment horizontal="right"/>
      <protection locked="0"/>
    </xf>
    <xf numFmtId="0" fontId="13" fillId="0" borderId="25" xfId="0" applyFont="1" applyBorder="1" applyAlignment="1">
      <alignment horizontal="center"/>
    </xf>
    <xf numFmtId="166" fontId="55" fillId="37" borderId="26" xfId="0" applyNumberFormat="1" applyFont="1" applyFill="1" applyBorder="1" applyAlignment="1">
      <alignment horizontal="center"/>
    </xf>
    <xf numFmtId="168" fontId="19" fillId="35" borderId="0" xfId="0" applyNumberFormat="1" applyFont="1" applyFill="1" applyAlignment="1">
      <alignment horizontal="center"/>
    </xf>
    <xf numFmtId="169" fontId="19" fillId="35" borderId="0" xfId="0" applyNumberFormat="1" applyFont="1" applyFill="1" applyAlignment="1">
      <alignment horizontal="center"/>
    </xf>
    <xf numFmtId="168" fontId="19" fillId="35" borderId="19" xfId="0" applyNumberFormat="1" applyFont="1" applyFill="1" applyBorder="1" applyAlignment="1">
      <alignment horizontal="center"/>
    </xf>
    <xf numFmtId="168" fontId="2" fillId="35" borderId="21" xfId="0" applyNumberFormat="1" applyFont="1" applyFill="1" applyBorder="1" applyAlignment="1">
      <alignment horizontal="center"/>
    </xf>
    <xf numFmtId="172" fontId="2" fillId="35" borderId="21" xfId="0" applyNumberFormat="1" applyFont="1" applyFill="1" applyBorder="1" applyAlignment="1">
      <alignment horizontal="center"/>
    </xf>
    <xf numFmtId="169" fontId="2" fillId="35" borderId="21" xfId="0" applyNumberFormat="1" applyFont="1" applyFill="1" applyBorder="1" applyAlignment="1">
      <alignment horizontal="center"/>
    </xf>
    <xf numFmtId="0" fontId="5" fillId="37" borderId="22" xfId="0" applyFont="1" applyFill="1" applyBorder="1" applyAlignment="1">
      <alignment horizontal="center"/>
    </xf>
    <xf numFmtId="0" fontId="56" fillId="35" borderId="0" xfId="0" applyFont="1" applyFill="1" applyBorder="1" applyAlignment="1">
      <alignment horizontal="center"/>
    </xf>
    <xf numFmtId="0" fontId="5" fillId="37" borderId="27" xfId="0" applyFont="1" applyFill="1" applyBorder="1" applyAlignment="1">
      <alignment horizontal="left"/>
    </xf>
    <xf numFmtId="168" fontId="5" fillId="35" borderId="19" xfId="0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left"/>
    </xf>
    <xf numFmtId="0" fontId="57" fillId="35" borderId="0" xfId="0" applyFont="1" applyFill="1" applyAlignment="1">
      <alignment horizontal="center"/>
    </xf>
    <xf numFmtId="167" fontId="21" fillId="0" borderId="0" xfId="0" applyNumberFormat="1" applyFont="1" applyBorder="1" applyAlignment="1" applyProtection="1">
      <alignment/>
      <protection/>
    </xf>
    <xf numFmtId="167" fontId="21" fillId="0" borderId="11" xfId="0" applyNumberFormat="1" applyFont="1" applyBorder="1" applyAlignment="1" applyProtection="1">
      <alignment/>
      <protection/>
    </xf>
    <xf numFmtId="0" fontId="5" fillId="37" borderId="11" xfId="0" applyFont="1" applyFill="1" applyBorder="1" applyAlignment="1">
      <alignment horizontal="center"/>
    </xf>
    <xf numFmtId="0" fontId="56" fillId="35" borderId="11" xfId="0" applyFont="1" applyFill="1" applyBorder="1" applyAlignment="1">
      <alignment horizontal="center"/>
    </xf>
    <xf numFmtId="0" fontId="56" fillId="37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177" fontId="0" fillId="0" borderId="0" xfId="0" applyNumberFormat="1" applyFont="1" applyAlignment="1" applyProtection="1">
      <alignment/>
      <protection/>
    </xf>
    <xf numFmtId="177" fontId="0" fillId="0" borderId="0" xfId="0" applyNumberFormat="1" applyAlignment="1">
      <alignment/>
    </xf>
    <xf numFmtId="177" fontId="0" fillId="0" borderId="0" xfId="0" applyNumberFormat="1" applyAlignment="1" applyProtection="1">
      <alignment/>
      <protection/>
    </xf>
    <xf numFmtId="177" fontId="9" fillId="0" borderId="0" xfId="0" applyNumberFormat="1" applyFont="1" applyAlignment="1" applyProtection="1">
      <alignment/>
      <protection/>
    </xf>
    <xf numFmtId="178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5" fillId="35" borderId="0" xfId="0" applyNumberFormat="1" applyFont="1" applyFill="1" applyBorder="1" applyAlignment="1">
      <alignment horizontal="center"/>
    </xf>
    <xf numFmtId="0" fontId="13" fillId="37" borderId="28" xfId="0" applyFont="1" applyFill="1" applyBorder="1" applyAlignment="1">
      <alignment horizontal="center"/>
    </xf>
    <xf numFmtId="0" fontId="19" fillId="0" borderId="29" xfId="0" applyFont="1" applyBorder="1" applyAlignment="1">
      <alignment/>
    </xf>
    <xf numFmtId="0" fontId="14" fillId="37" borderId="0" xfId="0" applyFont="1" applyFill="1" applyBorder="1" applyAlignment="1">
      <alignment horizontal="center"/>
    </xf>
    <xf numFmtId="0" fontId="14" fillId="37" borderId="30" xfId="0" applyFont="1" applyFill="1" applyBorder="1" applyAlignment="1">
      <alignment horizontal="centerContinuous"/>
    </xf>
    <xf numFmtId="0" fontId="14" fillId="37" borderId="31" xfId="0" applyFont="1" applyFill="1" applyBorder="1" applyAlignment="1">
      <alignment horizontal="center"/>
    </xf>
    <xf numFmtId="0" fontId="13" fillId="37" borderId="32" xfId="0" applyFont="1" applyFill="1" applyBorder="1" applyAlignment="1">
      <alignment horizontal="left"/>
    </xf>
    <xf numFmtId="0" fontId="25" fillId="35" borderId="0" xfId="0" applyFont="1" applyFill="1" applyAlignment="1">
      <alignment/>
    </xf>
    <xf numFmtId="0" fontId="13" fillId="0" borderId="13" xfId="0" applyFont="1" applyBorder="1" applyAlignment="1">
      <alignment/>
    </xf>
    <xf numFmtId="176" fontId="13" fillId="0" borderId="0" xfId="0" applyNumberFormat="1" applyFont="1" applyBorder="1" applyAlignment="1">
      <alignment/>
    </xf>
    <xf numFmtId="0" fontId="13" fillId="35" borderId="33" xfId="0" applyFont="1" applyFill="1" applyBorder="1" applyAlignment="1">
      <alignment horizontal="left"/>
    </xf>
    <xf numFmtId="0" fontId="12" fillId="35" borderId="15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17" xfId="0" applyFont="1" applyBorder="1" applyAlignment="1">
      <alignment horizontal="center"/>
    </xf>
    <xf numFmtId="0" fontId="13" fillId="0" borderId="15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177" fontId="6" fillId="0" borderId="0" xfId="0" applyNumberFormat="1" applyFont="1" applyAlignment="1" applyProtection="1">
      <alignment/>
      <protection locked="0"/>
    </xf>
    <xf numFmtId="176" fontId="2" fillId="0" borderId="0" xfId="0" applyNumberFormat="1" applyFont="1" applyAlignment="1" applyProtection="1">
      <alignment/>
      <protection/>
    </xf>
    <xf numFmtId="176" fontId="19" fillId="0" borderId="0" xfId="0" applyNumberFormat="1" applyFont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76" fontId="6" fillId="0" borderId="0" xfId="0" applyNumberFormat="1" applyFont="1" applyAlignment="1" applyProtection="1">
      <alignment/>
      <protection locked="0"/>
    </xf>
    <xf numFmtId="177" fontId="2" fillId="0" borderId="0" xfId="0" applyNumberFormat="1" applyFont="1" applyAlignment="1" applyProtection="1">
      <alignment/>
      <protection/>
    </xf>
    <xf numFmtId="177" fontId="36" fillId="0" borderId="0" xfId="0" applyNumberFormat="1" applyFont="1" applyAlignment="1" applyProtection="1">
      <alignment horizontal="right"/>
      <protection locked="0"/>
    </xf>
    <xf numFmtId="177" fontId="18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right"/>
      <protection/>
    </xf>
    <xf numFmtId="167" fontId="6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177" fontId="59" fillId="0" borderId="0" xfId="0" applyNumberFormat="1" applyFont="1" applyAlignment="1" applyProtection="1">
      <alignment/>
      <protection/>
    </xf>
    <xf numFmtId="169" fontId="22" fillId="0" borderId="0" xfId="0" applyNumberFormat="1" applyFont="1" applyBorder="1" applyAlignment="1">
      <alignment/>
    </xf>
    <xf numFmtId="0" fontId="32" fillId="0" borderId="0" xfId="0" applyFont="1" applyBorder="1" applyAlignment="1" applyProtection="1">
      <alignment horizontal="center"/>
      <protection locked="0"/>
    </xf>
    <xf numFmtId="0" fontId="34" fillId="0" borderId="34" xfId="0" applyFont="1" applyBorder="1" applyAlignment="1" applyProtection="1">
      <alignment/>
      <protection locked="0"/>
    </xf>
    <xf numFmtId="9" fontId="34" fillId="0" borderId="35" xfId="61" applyFont="1" applyBorder="1" applyAlignment="1" applyProtection="1">
      <alignment horizontal="left"/>
      <protection locked="0"/>
    </xf>
    <xf numFmtId="0" fontId="22" fillId="0" borderId="16" xfId="0" applyFont="1" applyBorder="1" applyAlignment="1">
      <alignment horizontal="left"/>
    </xf>
    <xf numFmtId="0" fontId="33" fillId="0" borderId="36" xfId="0" applyFont="1" applyBorder="1" applyAlignment="1">
      <alignment/>
    </xf>
    <xf numFmtId="169" fontId="33" fillId="0" borderId="0" xfId="0" applyNumberFormat="1" applyFont="1" applyBorder="1" applyAlignment="1">
      <alignment horizontal="right"/>
    </xf>
    <xf numFmtId="169" fontId="35" fillId="0" borderId="0" xfId="0" applyNumberFormat="1" applyFont="1" applyBorder="1" applyAlignment="1" applyProtection="1">
      <alignment/>
      <protection locked="0"/>
    </xf>
    <xf numFmtId="0" fontId="15" fillId="35" borderId="37" xfId="0" applyFont="1" applyFill="1" applyBorder="1" applyAlignment="1">
      <alignment/>
    </xf>
    <xf numFmtId="0" fontId="33" fillId="0" borderId="38" xfId="0" applyFont="1" applyBorder="1" applyAlignment="1">
      <alignment/>
    </xf>
    <xf numFmtId="0" fontId="34" fillId="35" borderId="39" xfId="0" applyFont="1" applyFill="1" applyBorder="1" applyAlignment="1" applyProtection="1">
      <alignment horizontal="center"/>
      <protection locked="0"/>
    </xf>
    <xf numFmtId="0" fontId="12" fillId="0" borderId="35" xfId="0" applyFont="1" applyBorder="1" applyAlignment="1">
      <alignment/>
    </xf>
    <xf numFmtId="1" fontId="32" fillId="0" borderId="40" xfId="0" applyNumberFormat="1" applyFont="1" applyBorder="1" applyAlignment="1">
      <alignment horizontal="center"/>
    </xf>
    <xf numFmtId="0" fontId="33" fillId="35" borderId="36" xfId="0" applyFont="1" applyFill="1" applyBorder="1" applyAlignment="1">
      <alignment horizontal="center"/>
    </xf>
    <xf numFmtId="0" fontId="64" fillId="34" borderId="36" xfId="0" applyFont="1" applyFill="1" applyBorder="1" applyAlignment="1">
      <alignment horizontal="center"/>
    </xf>
    <xf numFmtId="169" fontId="32" fillId="0" borderId="36" xfId="0" applyNumberFormat="1" applyFont="1" applyBorder="1" applyAlignment="1">
      <alignment/>
    </xf>
    <xf numFmtId="169" fontId="32" fillId="0" borderId="36" xfId="0" applyNumberFormat="1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63" fillId="0" borderId="41" xfId="0" applyFont="1" applyBorder="1" applyAlignment="1">
      <alignment horizontal="center"/>
    </xf>
    <xf numFmtId="169" fontId="10" fillId="0" borderId="0" xfId="0" applyNumberFormat="1" applyFont="1" applyBorder="1" applyAlignment="1">
      <alignment horizontal="left"/>
    </xf>
    <xf numFmtId="169" fontId="10" fillId="0" borderId="17" xfId="0" applyNumberFormat="1" applyFont="1" applyBorder="1" applyAlignment="1">
      <alignment/>
    </xf>
    <xf numFmtId="1" fontId="32" fillId="0" borderId="40" xfId="0" applyNumberFormat="1" applyFont="1" applyBorder="1" applyAlignment="1">
      <alignment horizontal="centerContinuous"/>
    </xf>
    <xf numFmtId="0" fontId="33" fillId="0" borderId="42" xfId="0" applyFont="1" applyBorder="1" applyAlignment="1">
      <alignment/>
    </xf>
    <xf numFmtId="0" fontId="64" fillId="34" borderId="39" xfId="0" applyFont="1" applyFill="1" applyBorder="1" applyAlignment="1">
      <alignment horizontal="center"/>
    </xf>
    <xf numFmtId="169" fontId="33" fillId="35" borderId="36" xfId="0" applyNumberFormat="1" applyFont="1" applyFill="1" applyBorder="1" applyAlignment="1">
      <alignment horizontal="center"/>
    </xf>
    <xf numFmtId="169" fontId="33" fillId="35" borderId="43" xfId="0" applyNumberFormat="1" applyFont="1" applyFill="1" applyBorder="1" applyAlignment="1">
      <alignment/>
    </xf>
    <xf numFmtId="169" fontId="10" fillId="35" borderId="0" xfId="0" applyNumberFormat="1" applyFont="1" applyFill="1" applyBorder="1" applyAlignment="1">
      <alignment horizontal="left"/>
    </xf>
    <xf numFmtId="169" fontId="15" fillId="35" borderId="17" xfId="0" applyNumberFormat="1" applyFont="1" applyFill="1" applyBorder="1" applyAlignment="1">
      <alignment/>
    </xf>
    <xf numFmtId="0" fontId="34" fillId="35" borderId="44" xfId="0" applyFont="1" applyFill="1" applyBorder="1" applyAlignment="1" applyProtection="1">
      <alignment horizontal="center"/>
      <protection locked="0"/>
    </xf>
    <xf numFmtId="0" fontId="22" fillId="0" borderId="12" xfId="0" applyFont="1" applyBorder="1" applyAlignment="1">
      <alignment/>
    </xf>
    <xf numFmtId="169" fontId="22" fillId="0" borderId="12" xfId="0" applyNumberFormat="1" applyFont="1" applyBorder="1" applyAlignment="1">
      <alignment horizontal="right"/>
    </xf>
    <xf numFmtId="169" fontId="32" fillId="0" borderId="18" xfId="0" applyNumberFormat="1" applyFont="1" applyBorder="1" applyAlignment="1">
      <alignment/>
    </xf>
    <xf numFmtId="169" fontId="34" fillId="0" borderId="0" xfId="0" applyNumberFormat="1" applyFont="1" applyBorder="1" applyAlignment="1" applyProtection="1">
      <alignment/>
      <protection locked="0"/>
    </xf>
    <xf numFmtId="169" fontId="22" fillId="0" borderId="0" xfId="0" applyNumberFormat="1" applyFont="1" applyAlignment="1">
      <alignment/>
    </xf>
    <xf numFmtId="0" fontId="15" fillId="35" borderId="0" xfId="0" applyFont="1" applyFill="1" applyAlignment="1">
      <alignment horizontal="center"/>
    </xf>
    <xf numFmtId="0" fontId="16" fillId="0" borderId="0" xfId="0" applyFont="1" applyBorder="1" applyAlignment="1" quotePrefix="1">
      <alignment horizontal="center"/>
    </xf>
    <xf numFmtId="0" fontId="16" fillId="0" borderId="41" xfId="0" applyFont="1" applyBorder="1" applyAlignment="1">
      <alignment horizontal="center"/>
    </xf>
    <xf numFmtId="0" fontId="16" fillId="0" borderId="41" xfId="0" applyFont="1" applyBorder="1" applyAlignment="1">
      <alignment horizontal="right"/>
    </xf>
    <xf numFmtId="0" fontId="34" fillId="35" borderId="45" xfId="0" applyFont="1" applyFill="1" applyBorder="1" applyAlignment="1" applyProtection="1">
      <alignment horizontal="center"/>
      <protection locked="0"/>
    </xf>
    <xf numFmtId="169" fontId="32" fillId="35" borderId="45" xfId="0" applyNumberFormat="1" applyFont="1" applyFill="1" applyBorder="1" applyAlignment="1">
      <alignment horizontal="right"/>
    </xf>
    <xf numFmtId="169" fontId="32" fillId="35" borderId="43" xfId="0" applyNumberFormat="1" applyFont="1" applyFill="1" applyBorder="1" applyAlignment="1">
      <alignment horizontal="right"/>
    </xf>
    <xf numFmtId="0" fontId="65" fillId="35" borderId="0" xfId="0" applyFont="1" applyFill="1" applyBorder="1" applyAlignment="1">
      <alignment horizontal="left"/>
    </xf>
    <xf numFmtId="0" fontId="66" fillId="0" borderId="0" xfId="0" applyFont="1" applyBorder="1" applyAlignment="1">
      <alignment/>
    </xf>
    <xf numFmtId="176" fontId="67" fillId="35" borderId="0" xfId="0" applyNumberFormat="1" applyFont="1" applyFill="1" applyBorder="1" applyAlignment="1" applyProtection="1">
      <alignment horizontal="center"/>
      <protection locked="0"/>
    </xf>
    <xf numFmtId="169" fontId="32" fillId="35" borderId="0" xfId="0" applyNumberFormat="1" applyFont="1" applyFill="1" applyBorder="1" applyAlignment="1">
      <alignment/>
    </xf>
    <xf numFmtId="177" fontId="35" fillId="0" borderId="0" xfId="44" applyNumberFormat="1" applyFont="1" applyBorder="1" applyAlignment="1" applyProtection="1">
      <alignment horizontal="left"/>
      <protection locked="0"/>
    </xf>
    <xf numFmtId="0" fontId="35" fillId="0" borderId="0" xfId="0" applyFont="1" applyBorder="1" applyAlignment="1" applyProtection="1">
      <alignment horizontal="left"/>
      <protection locked="0"/>
    </xf>
    <xf numFmtId="0" fontId="35" fillId="35" borderId="0" xfId="0" applyFont="1" applyFill="1" applyBorder="1" applyAlignment="1" applyProtection="1">
      <alignment horizontal="left"/>
      <protection locked="0"/>
    </xf>
    <xf numFmtId="168" fontId="68" fillId="0" borderId="0" xfId="0" applyNumberFormat="1" applyFont="1" applyBorder="1" applyAlignment="1">
      <alignment/>
    </xf>
    <xf numFmtId="176" fontId="69" fillId="35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/>
    </xf>
    <xf numFmtId="0" fontId="71" fillId="0" borderId="36" xfId="0" applyFont="1" applyBorder="1" applyAlignment="1" applyProtection="1">
      <alignment/>
      <protection locked="0"/>
    </xf>
    <xf numFmtId="0" fontId="19" fillId="0" borderId="36" xfId="0" applyFont="1" applyBorder="1" applyAlignment="1">
      <alignment/>
    </xf>
    <xf numFmtId="0" fontId="19" fillId="0" borderId="11" xfId="0" applyFont="1" applyBorder="1" applyAlignment="1">
      <alignment/>
    </xf>
    <xf numFmtId="166" fontId="71" fillId="0" borderId="36" xfId="0" applyNumberFormat="1" applyFont="1" applyBorder="1" applyAlignment="1" applyProtection="1">
      <alignment/>
      <protection locked="0"/>
    </xf>
    <xf numFmtId="166" fontId="19" fillId="0" borderId="0" xfId="0" applyNumberFormat="1" applyFont="1" applyAlignment="1" applyProtection="1">
      <alignment/>
      <protection locked="0"/>
    </xf>
    <xf numFmtId="0" fontId="71" fillId="0" borderId="36" xfId="0" applyFont="1" applyBorder="1" applyAlignment="1" applyProtection="1">
      <alignment horizontal="right"/>
      <protection locked="0"/>
    </xf>
    <xf numFmtId="10" fontId="71" fillId="0" borderId="36" xfId="61" applyNumberFormat="1" applyFont="1" applyBorder="1" applyAlignment="1" applyProtection="1">
      <alignment horizontal="right"/>
      <protection locked="0"/>
    </xf>
    <xf numFmtId="1" fontId="71" fillId="0" borderId="36" xfId="0" applyNumberFormat="1" applyFont="1" applyBorder="1" applyAlignment="1" applyProtection="1">
      <alignment/>
      <protection locked="0"/>
    </xf>
    <xf numFmtId="1" fontId="71" fillId="0" borderId="36" xfId="61" applyNumberFormat="1" applyFont="1" applyBorder="1" applyAlignment="1" applyProtection="1">
      <alignment/>
      <protection locked="0"/>
    </xf>
    <xf numFmtId="9" fontId="71" fillId="0" borderId="0" xfId="61" applyFont="1" applyBorder="1" applyAlignment="1" applyProtection="1">
      <alignment horizontal="right"/>
      <protection locked="0"/>
    </xf>
    <xf numFmtId="3" fontId="71" fillId="0" borderId="36" xfId="0" applyNumberFormat="1" applyFont="1" applyBorder="1" applyAlignment="1" applyProtection="1">
      <alignment/>
      <protection locked="0"/>
    </xf>
    <xf numFmtId="1" fontId="17" fillId="0" borderId="0" xfId="0" applyNumberFormat="1" applyFont="1" applyAlignment="1">
      <alignment/>
    </xf>
    <xf numFmtId="167" fontId="71" fillId="0" borderId="36" xfId="0" applyNumberFormat="1" applyFont="1" applyBorder="1" applyAlignment="1" applyProtection="1">
      <alignment/>
      <protection locked="0"/>
    </xf>
    <xf numFmtId="0" fontId="71" fillId="0" borderId="0" xfId="0" applyFont="1" applyAlignment="1" applyProtection="1">
      <alignment/>
      <protection locked="0"/>
    </xf>
    <xf numFmtId="1" fontId="17" fillId="0" borderId="0" xfId="0" applyNumberFormat="1" applyFont="1" applyBorder="1" applyAlignment="1">
      <alignment horizontal="left"/>
    </xf>
    <xf numFmtId="0" fontId="19" fillId="35" borderId="0" xfId="0" applyFont="1" applyFill="1" applyAlignment="1">
      <alignment horizontal="left"/>
    </xf>
    <xf numFmtId="0" fontId="17" fillId="0" borderId="0" xfId="0" applyFont="1" applyAlignment="1">
      <alignment horizontal="centerContinuous"/>
    </xf>
    <xf numFmtId="10" fontId="25" fillId="0" borderId="10" xfId="61" applyNumberFormat="1" applyFont="1" applyBorder="1" applyAlignment="1">
      <alignment/>
    </xf>
    <xf numFmtId="170" fontId="17" fillId="0" borderId="0" xfId="0" applyNumberFormat="1" applyFont="1" applyAlignment="1">
      <alignment/>
    </xf>
    <xf numFmtId="0" fontId="22" fillId="0" borderId="0" xfId="0" applyFont="1" applyAlignment="1">
      <alignment/>
    </xf>
    <xf numFmtId="0" fontId="72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166" fontId="73" fillId="0" borderId="0" xfId="0" applyNumberFormat="1" applyFont="1" applyAlignment="1">
      <alignment/>
    </xf>
    <xf numFmtId="0" fontId="71" fillId="0" borderId="36" xfId="0" applyFont="1" applyBorder="1" applyAlignment="1" applyProtection="1">
      <alignment horizontal="left"/>
      <protection locked="0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4" fillId="0" borderId="11" xfId="0" applyFont="1" applyBorder="1" applyAlignment="1">
      <alignment/>
    </xf>
    <xf numFmtId="0" fontId="76" fillId="0" borderId="36" xfId="0" applyFont="1" applyBorder="1" applyAlignment="1" applyProtection="1">
      <alignment horizontal="right"/>
      <protection locked="0"/>
    </xf>
    <xf numFmtId="10" fontId="76" fillId="0" borderId="36" xfId="61" applyNumberFormat="1" applyFont="1" applyBorder="1" applyAlignment="1" applyProtection="1">
      <alignment horizontal="right"/>
      <protection locked="0"/>
    </xf>
    <xf numFmtId="1" fontId="76" fillId="0" borderId="36" xfId="61" applyNumberFormat="1" applyFont="1" applyBorder="1" applyAlignment="1" applyProtection="1">
      <alignment/>
      <protection locked="0"/>
    </xf>
    <xf numFmtId="167" fontId="76" fillId="0" borderId="36" xfId="61" applyNumberFormat="1" applyFont="1" applyBorder="1" applyAlignment="1" applyProtection="1">
      <alignment horizontal="right"/>
      <protection locked="0"/>
    </xf>
    <xf numFmtId="0" fontId="74" fillId="0" borderId="0" xfId="0" applyFont="1" applyAlignment="1">
      <alignment horizontal="left"/>
    </xf>
    <xf numFmtId="1" fontId="76" fillId="0" borderId="0" xfId="0" applyNumberFormat="1" applyFont="1" applyBorder="1" applyAlignment="1" applyProtection="1">
      <alignment horizontal="left"/>
      <protection locked="0"/>
    </xf>
    <xf numFmtId="168" fontId="78" fillId="0" borderId="0" xfId="0" applyNumberFormat="1" applyFont="1" applyAlignment="1" applyProtection="1">
      <alignment/>
      <protection/>
    </xf>
    <xf numFmtId="0" fontId="75" fillId="0" borderId="0" xfId="0" applyFont="1" applyAlignment="1" quotePrefix="1">
      <alignment horizontal="left"/>
    </xf>
    <xf numFmtId="169" fontId="76" fillId="0" borderId="0" xfId="0" applyNumberFormat="1" applyFont="1" applyBorder="1" applyAlignment="1" applyProtection="1">
      <alignment/>
      <protection locked="0"/>
    </xf>
    <xf numFmtId="169" fontId="75" fillId="0" borderId="0" xfId="0" applyNumberFormat="1" applyFont="1" applyAlignment="1">
      <alignment/>
    </xf>
    <xf numFmtId="0" fontId="75" fillId="0" borderId="0" xfId="0" applyFont="1" applyAlignment="1" applyProtection="1">
      <alignment/>
      <protection/>
    </xf>
    <xf numFmtId="0" fontId="74" fillId="0" borderId="0" xfId="0" applyFont="1" applyAlignment="1" applyProtection="1" quotePrefix="1">
      <alignment horizontal="left"/>
      <protection/>
    </xf>
    <xf numFmtId="0" fontId="74" fillId="0" borderId="0" xfId="0" applyFont="1" applyAlignment="1" applyProtection="1">
      <alignment/>
      <protection/>
    </xf>
    <xf numFmtId="166" fontId="80" fillId="0" borderId="36" xfId="0" applyNumberFormat="1" applyFont="1" applyBorder="1" applyAlignment="1" applyProtection="1">
      <alignment/>
      <protection locked="0"/>
    </xf>
    <xf numFmtId="166" fontId="81" fillId="0" borderId="0" xfId="0" applyNumberFormat="1" applyFont="1" applyAlignment="1" applyProtection="1">
      <alignment/>
      <protection locked="0"/>
    </xf>
    <xf numFmtId="167" fontId="25" fillId="38" borderId="36" xfId="0" applyNumberFormat="1" applyFont="1" applyFill="1" applyBorder="1" applyAlignment="1" applyProtection="1">
      <alignment/>
      <protection/>
    </xf>
    <xf numFmtId="167" fontId="25" fillId="38" borderId="36" xfId="0" applyNumberFormat="1" applyFont="1" applyFill="1" applyBorder="1" applyAlignment="1">
      <alignment/>
    </xf>
    <xf numFmtId="166" fontId="19" fillId="0" borderId="0" xfId="0" applyNumberFormat="1" applyFont="1" applyAlignment="1" applyProtection="1">
      <alignment/>
      <protection/>
    </xf>
    <xf numFmtId="166" fontId="17" fillId="0" borderId="0" xfId="0" applyNumberFormat="1" applyFont="1" applyAlignment="1">
      <alignment/>
    </xf>
    <xf numFmtId="166" fontId="19" fillId="0" borderId="0" xfId="0" applyNumberFormat="1" applyFont="1" applyAlignment="1">
      <alignment/>
    </xf>
    <xf numFmtId="0" fontId="82" fillId="0" borderId="0" xfId="0" applyFont="1" applyAlignment="1">
      <alignment/>
    </xf>
    <xf numFmtId="0" fontId="75" fillId="35" borderId="0" xfId="0" applyFont="1" applyFill="1" applyAlignment="1">
      <alignment/>
    </xf>
    <xf numFmtId="167" fontId="83" fillId="35" borderId="0" xfId="0" applyNumberFormat="1" applyFont="1" applyFill="1" applyAlignment="1">
      <alignment/>
    </xf>
    <xf numFmtId="0" fontId="77" fillId="35" borderId="11" xfId="0" applyFont="1" applyFill="1" applyBorder="1" applyAlignment="1" applyProtection="1">
      <alignment/>
      <protection/>
    </xf>
    <xf numFmtId="0" fontId="77" fillId="35" borderId="0" xfId="0" applyFont="1" applyFill="1" applyAlignment="1" applyProtection="1">
      <alignment/>
      <protection/>
    </xf>
    <xf numFmtId="0" fontId="75" fillId="35" borderId="0" xfId="0" applyFont="1" applyFill="1" applyAlignment="1">
      <alignment horizontal="centerContinuous"/>
    </xf>
    <xf numFmtId="0" fontId="76" fillId="35" borderId="0" xfId="0" applyFont="1" applyFill="1" applyBorder="1" applyAlignment="1" applyProtection="1">
      <alignment horizontal="centerContinuous"/>
      <protection locked="0"/>
    </xf>
    <xf numFmtId="0" fontId="79" fillId="35" borderId="0" xfId="0" applyFont="1" applyFill="1" applyBorder="1" applyAlignment="1">
      <alignment/>
    </xf>
    <xf numFmtId="0" fontId="79" fillId="35" borderId="0" xfId="0" applyFont="1" applyFill="1" applyBorder="1" applyAlignment="1">
      <alignment horizontal="centerContinuous"/>
    </xf>
    <xf numFmtId="0" fontId="75" fillId="35" borderId="0" xfId="0" applyFont="1" applyFill="1" applyAlignment="1" applyProtection="1">
      <alignment/>
      <protection/>
    </xf>
    <xf numFmtId="0" fontId="84" fillId="0" borderId="11" xfId="0" applyFont="1" applyBorder="1" applyAlignment="1">
      <alignment/>
    </xf>
    <xf numFmtId="0" fontId="2" fillId="0" borderId="0" xfId="0" applyFont="1" applyBorder="1" applyAlignment="1">
      <alignment/>
    </xf>
    <xf numFmtId="170" fontId="76" fillId="0" borderId="36" xfId="61" applyNumberFormat="1" applyFont="1" applyBorder="1" applyAlignment="1" applyProtection="1">
      <alignment horizontal="center"/>
      <protection locked="0"/>
    </xf>
    <xf numFmtId="0" fontId="81" fillId="0" borderId="0" xfId="0" applyFont="1" applyAlignment="1">
      <alignment/>
    </xf>
    <xf numFmtId="0" fontId="81" fillId="35" borderId="0" xfId="0" applyFont="1" applyFill="1" applyAlignment="1">
      <alignment horizontal="left"/>
    </xf>
    <xf numFmtId="0" fontId="59" fillId="0" borderId="0" xfId="0" applyFont="1" applyAlignment="1">
      <alignment/>
    </xf>
    <xf numFmtId="10" fontId="85" fillId="0" borderId="10" xfId="0" applyNumberFormat="1" applyFont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87" fillId="35" borderId="0" xfId="0" applyFont="1" applyFill="1" applyAlignment="1">
      <alignment horizontal="left"/>
    </xf>
    <xf numFmtId="0" fontId="86" fillId="0" borderId="0" xfId="0" applyFont="1" applyAlignment="1">
      <alignment horizontal="centerContinuous"/>
    </xf>
    <xf numFmtId="0" fontId="0" fillId="0" borderId="46" xfId="0" applyBorder="1" applyAlignment="1">
      <alignment/>
    </xf>
    <xf numFmtId="0" fontId="13" fillId="35" borderId="0" xfId="0" applyFont="1" applyFill="1" applyBorder="1" applyAlignment="1" applyProtection="1">
      <alignment horizontal="left"/>
      <protection/>
    </xf>
    <xf numFmtId="0" fontId="12" fillId="35" borderId="11" xfId="0" applyFont="1" applyFill="1" applyBorder="1" applyAlignment="1">
      <alignment/>
    </xf>
    <xf numFmtId="0" fontId="12" fillId="35" borderId="41" xfId="0" applyFont="1" applyFill="1" applyBorder="1" applyAlignment="1">
      <alignment/>
    </xf>
    <xf numFmtId="0" fontId="12" fillId="35" borderId="0" xfId="0" applyFont="1" applyFill="1" applyAlignment="1">
      <alignment/>
    </xf>
    <xf numFmtId="0" fontId="13" fillId="35" borderId="11" xfId="0" applyFont="1" applyFill="1" applyBorder="1" applyAlignment="1" applyProtection="1">
      <alignment/>
      <protection/>
    </xf>
    <xf numFmtId="0" fontId="13" fillId="35" borderId="41" xfId="0" applyFont="1" applyFill="1" applyBorder="1" applyAlignment="1" applyProtection="1">
      <alignment/>
      <protection/>
    </xf>
    <xf numFmtId="0" fontId="0" fillId="35" borderId="31" xfId="0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0" fillId="0" borderId="30" xfId="0" applyBorder="1" applyAlignment="1">
      <alignment/>
    </xf>
    <xf numFmtId="0" fontId="13" fillId="0" borderId="30" xfId="0" applyFont="1" applyBorder="1" applyAlignment="1">
      <alignment horizontal="centerContinuous"/>
    </xf>
    <xf numFmtId="0" fontId="28" fillId="35" borderId="30" xfId="0" applyFont="1" applyFill="1" applyBorder="1" applyAlignment="1" applyProtection="1">
      <alignment/>
      <protection/>
    </xf>
    <xf numFmtId="0" fontId="13" fillId="35" borderId="47" xfId="0" applyFont="1" applyFill="1" applyBorder="1" applyAlignment="1" applyProtection="1">
      <alignment horizontal="centerContinuous"/>
      <protection/>
    </xf>
    <xf numFmtId="0" fontId="13" fillId="35" borderId="11" xfId="0" applyFont="1" applyFill="1" applyBorder="1" applyAlignment="1" applyProtection="1">
      <alignment horizontal="left"/>
      <protection/>
    </xf>
    <xf numFmtId="0" fontId="17" fillId="35" borderId="0" xfId="0" applyFont="1" applyFill="1" applyAlignment="1">
      <alignment/>
    </xf>
    <xf numFmtId="0" fontId="17" fillId="35" borderId="0" xfId="0" applyFont="1" applyFill="1" applyBorder="1" applyAlignment="1">
      <alignment horizontal="left"/>
    </xf>
    <xf numFmtId="0" fontId="83" fillId="35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>
      <alignment/>
    </xf>
    <xf numFmtId="0" fontId="13" fillId="35" borderId="0" xfId="0" applyFont="1" applyFill="1" applyBorder="1" applyAlignment="1" applyProtection="1">
      <alignment/>
      <protection/>
    </xf>
    <xf numFmtId="0" fontId="13" fillId="35" borderId="32" xfId="0" applyFont="1" applyFill="1" applyBorder="1" applyAlignment="1" applyProtection="1">
      <alignment horizontal="left"/>
      <protection/>
    </xf>
    <xf numFmtId="0" fontId="13" fillId="35" borderId="48" xfId="0" applyFont="1" applyFill="1" applyBorder="1" applyAlignment="1" applyProtection="1">
      <alignment/>
      <protection/>
    </xf>
    <xf numFmtId="0" fontId="12" fillId="35" borderId="30" xfId="0" applyFont="1" applyFill="1" applyBorder="1" applyAlignment="1">
      <alignment/>
    </xf>
    <xf numFmtId="0" fontId="0" fillId="35" borderId="31" xfId="0" applyFill="1" applyBorder="1" applyAlignment="1">
      <alignment/>
    </xf>
    <xf numFmtId="0" fontId="89" fillId="35" borderId="41" xfId="0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19" fillId="35" borderId="48" xfId="0" applyFont="1" applyFill="1" applyBorder="1" applyAlignment="1" applyProtection="1">
      <alignment/>
      <protection/>
    </xf>
    <xf numFmtId="0" fontId="25" fillId="35" borderId="49" xfId="0" applyFont="1" applyFill="1" applyBorder="1" applyAlignment="1" applyProtection="1">
      <alignment/>
      <protection/>
    </xf>
    <xf numFmtId="0" fontId="90" fillId="35" borderId="11" xfId="0" applyFont="1" applyFill="1" applyBorder="1" applyAlignment="1" applyProtection="1">
      <alignment horizontal="center"/>
      <protection/>
    </xf>
    <xf numFmtId="167" fontId="32" fillId="35" borderId="11" xfId="0" applyNumberFormat="1" applyFont="1" applyFill="1" applyBorder="1" applyAlignment="1" applyProtection="1">
      <alignment/>
      <protection/>
    </xf>
    <xf numFmtId="0" fontId="32" fillId="35" borderId="11" xfId="0" applyNumberFormat="1" applyFont="1" applyFill="1" applyBorder="1" applyAlignment="1" applyProtection="1">
      <alignment/>
      <protection/>
    </xf>
    <xf numFmtId="0" fontId="33" fillId="35" borderId="36" xfId="0" applyFont="1" applyFill="1" applyBorder="1" applyAlignment="1">
      <alignment/>
    </xf>
    <xf numFmtId="167" fontId="91" fillId="35" borderId="39" xfId="0" applyNumberFormat="1" applyFont="1" applyFill="1" applyBorder="1" applyAlignment="1" applyProtection="1">
      <alignment horizontal="right"/>
      <protection/>
    </xf>
    <xf numFmtId="0" fontId="90" fillId="35" borderId="50" xfId="0" applyFont="1" applyFill="1" applyBorder="1" applyAlignment="1" applyProtection="1">
      <alignment horizontal="center"/>
      <protection/>
    </xf>
    <xf numFmtId="167" fontId="32" fillId="35" borderId="50" xfId="0" applyNumberFormat="1" applyFont="1" applyFill="1" applyBorder="1" applyAlignment="1" applyProtection="1">
      <alignment/>
      <protection/>
    </xf>
    <xf numFmtId="167" fontId="32" fillId="35" borderId="51" xfId="0" applyNumberFormat="1" applyFont="1" applyFill="1" applyBorder="1" applyAlignment="1">
      <alignment/>
    </xf>
    <xf numFmtId="0" fontId="32" fillId="35" borderId="50" xfId="0" applyNumberFormat="1" applyFont="1" applyFill="1" applyBorder="1" applyAlignment="1" applyProtection="1">
      <alignment/>
      <protection/>
    </xf>
    <xf numFmtId="167" fontId="91" fillId="35" borderId="52" xfId="0" applyNumberFormat="1" applyFont="1" applyFill="1" applyBorder="1" applyAlignment="1" applyProtection="1">
      <alignment horizontal="right"/>
      <protection/>
    </xf>
    <xf numFmtId="0" fontId="90" fillId="35" borderId="51" xfId="0" applyFont="1" applyFill="1" applyBorder="1" applyAlignment="1">
      <alignment horizontal="center"/>
    </xf>
    <xf numFmtId="0" fontId="32" fillId="35" borderId="51" xfId="0" applyNumberFormat="1" applyFont="1" applyFill="1" applyBorder="1" applyAlignment="1">
      <alignment/>
    </xf>
    <xf numFmtId="0" fontId="33" fillId="35" borderId="53" xfId="0" applyFont="1" applyFill="1" applyBorder="1" applyAlignment="1">
      <alignment/>
    </xf>
    <xf numFmtId="167" fontId="91" fillId="35" borderId="54" xfId="0" applyNumberFormat="1" applyFont="1" applyFill="1" applyBorder="1" applyAlignment="1">
      <alignment horizontal="right"/>
    </xf>
    <xf numFmtId="0" fontId="90" fillId="35" borderId="55" xfId="0" applyFont="1" applyFill="1" applyBorder="1" applyAlignment="1" applyProtection="1">
      <alignment horizontal="center"/>
      <protection/>
    </xf>
    <xf numFmtId="167" fontId="32" fillId="35" borderId="55" xfId="0" applyNumberFormat="1" applyFont="1" applyFill="1" applyBorder="1" applyAlignment="1" applyProtection="1">
      <alignment/>
      <protection/>
    </xf>
    <xf numFmtId="0" fontId="33" fillId="35" borderId="35" xfId="0" applyFont="1" applyFill="1" applyBorder="1" applyAlignment="1">
      <alignment/>
    </xf>
    <xf numFmtId="167" fontId="91" fillId="35" borderId="40" xfId="0" applyNumberFormat="1" applyFont="1" applyFill="1" applyBorder="1" applyAlignment="1" applyProtection="1">
      <alignment horizontal="right"/>
      <protection/>
    </xf>
    <xf numFmtId="0" fontId="88" fillId="35" borderId="46" xfId="0" applyFont="1" applyFill="1" applyBorder="1" applyAlignment="1" applyProtection="1">
      <alignment horizontal="left"/>
      <protection/>
    </xf>
    <xf numFmtId="0" fontId="92" fillId="35" borderId="30" xfId="0" applyFont="1" applyFill="1" applyBorder="1" applyAlignment="1">
      <alignment horizontal="left"/>
    </xf>
    <xf numFmtId="0" fontId="92" fillId="0" borderId="30" xfId="0" applyFont="1" applyBorder="1" applyAlignment="1">
      <alignment horizontal="centerContinuous"/>
    </xf>
    <xf numFmtId="0" fontId="2" fillId="35" borderId="56" xfId="0" applyFont="1" applyFill="1" applyBorder="1" applyAlignment="1">
      <alignment horizontal="center" vertical="center" wrapText="1"/>
    </xf>
    <xf numFmtId="0" fontId="0" fillId="35" borderId="56" xfId="0" applyFill="1" applyBorder="1" applyAlignment="1">
      <alignment horizontal="center" vertical="center" wrapText="1"/>
    </xf>
    <xf numFmtId="0" fontId="2" fillId="35" borderId="57" xfId="0" applyFont="1" applyFill="1" applyBorder="1" applyAlignment="1">
      <alignment horizontal="center" vertical="center" wrapText="1"/>
    </xf>
    <xf numFmtId="0" fontId="0" fillId="35" borderId="57" xfId="0" applyFill="1" applyBorder="1" applyAlignment="1">
      <alignment horizontal="center" vertical="center" wrapText="1"/>
    </xf>
    <xf numFmtId="0" fontId="2" fillId="35" borderId="58" xfId="0" applyFont="1" applyFill="1" applyBorder="1" applyAlignment="1">
      <alignment horizontal="left" vertical="center" wrapText="1"/>
    </xf>
    <xf numFmtId="0" fontId="0" fillId="35" borderId="59" xfId="0" applyFill="1" applyBorder="1" applyAlignment="1">
      <alignment wrapText="1"/>
    </xf>
    <xf numFmtId="0" fontId="0" fillId="35" borderId="59" xfId="0" applyFill="1" applyBorder="1" applyAlignment="1">
      <alignment horizontal="center" wrapText="1"/>
    </xf>
    <xf numFmtId="0" fontId="2" fillId="35" borderId="56" xfId="0" applyFont="1" applyFill="1" applyBorder="1" applyAlignment="1">
      <alignment horizontal="left" vertical="center" wrapText="1"/>
    </xf>
    <xf numFmtId="6" fontId="0" fillId="35" borderId="59" xfId="0" applyNumberFormat="1" applyFill="1" applyBorder="1" applyAlignment="1">
      <alignment horizontal="center" wrapText="1"/>
    </xf>
    <xf numFmtId="0" fontId="2" fillId="35" borderId="59" xfId="0" applyFont="1" applyFill="1" applyBorder="1" applyAlignment="1">
      <alignment horizontal="left" vertical="center" wrapText="1"/>
    </xf>
    <xf numFmtId="0" fontId="0" fillId="35" borderId="58" xfId="0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5" borderId="0" xfId="0" applyFont="1" applyFill="1" applyAlignment="1">
      <alignment vertical="top" wrapText="1"/>
    </xf>
    <xf numFmtId="0" fontId="93" fillId="0" borderId="0" xfId="0" applyFont="1" applyAlignment="1">
      <alignment/>
    </xf>
    <xf numFmtId="0" fontId="15" fillId="35" borderId="15" xfId="0" applyFont="1" applyFill="1" applyBorder="1" applyAlignment="1">
      <alignment/>
    </xf>
    <xf numFmtId="0" fontId="63" fillId="0" borderId="11" xfId="0" applyFont="1" applyBorder="1" applyAlignment="1">
      <alignment horizontal="center"/>
    </xf>
    <xf numFmtId="169" fontId="10" fillId="0" borderId="18" xfId="0" applyNumberFormat="1" applyFont="1" applyBorder="1" applyAlignment="1">
      <alignment/>
    </xf>
    <xf numFmtId="0" fontId="62" fillId="34" borderId="50" xfId="0" applyFont="1" applyFill="1" applyBorder="1" applyAlignment="1">
      <alignment horizontal="centerContinuous"/>
    </xf>
    <xf numFmtId="169" fontId="10" fillId="0" borderId="16" xfId="0" applyNumberFormat="1" applyFont="1" applyBorder="1" applyAlignment="1">
      <alignment/>
    </xf>
    <xf numFmtId="169" fontId="10" fillId="0" borderId="33" xfId="0" applyNumberFormat="1" applyFont="1" applyBorder="1" applyAlignment="1">
      <alignment/>
    </xf>
    <xf numFmtId="169" fontId="10" fillId="0" borderId="14" xfId="0" applyNumberFormat="1" applyFont="1" applyBorder="1" applyAlignment="1">
      <alignment/>
    </xf>
    <xf numFmtId="0" fontId="94" fillId="0" borderId="41" xfId="0" applyFont="1" applyBorder="1" applyAlignment="1">
      <alignment horizontal="center"/>
    </xf>
    <xf numFmtId="0" fontId="2" fillId="35" borderId="58" xfId="0" applyFont="1" applyFill="1" applyBorder="1" applyAlignment="1">
      <alignment horizontal="center" vertical="center" wrapText="1"/>
    </xf>
    <xf numFmtId="0" fontId="2" fillId="35" borderId="56" xfId="0" applyFont="1" applyFill="1" applyBorder="1" applyAlignment="1">
      <alignment horizontal="center" vertical="center" wrapText="1"/>
    </xf>
    <xf numFmtId="0" fontId="2" fillId="35" borderId="57" xfId="0" applyFont="1" applyFill="1" applyBorder="1" applyAlignment="1">
      <alignment horizontal="center" vertical="center" wrapText="1"/>
    </xf>
    <xf numFmtId="0" fontId="2" fillId="35" borderId="58" xfId="0" applyFont="1" applyFill="1" applyBorder="1" applyAlignment="1">
      <alignment horizontal="left" vertical="center" wrapText="1"/>
    </xf>
    <xf numFmtId="0" fontId="2" fillId="35" borderId="57" xfId="0" applyFont="1" applyFill="1" applyBorder="1" applyAlignment="1">
      <alignment horizontal="left" vertical="center" wrapText="1"/>
    </xf>
    <xf numFmtId="0" fontId="0" fillId="35" borderId="57" xfId="0" applyFill="1" applyBorder="1" applyAlignment="1">
      <alignment wrapText="1"/>
    </xf>
    <xf numFmtId="0" fontId="0" fillId="35" borderId="58" xfId="0" applyFill="1" applyBorder="1" applyAlignment="1">
      <alignment horizontal="center" wrapText="1"/>
    </xf>
    <xf numFmtId="0" fontId="0" fillId="35" borderId="56" xfId="0" applyFill="1" applyBorder="1" applyAlignment="1">
      <alignment horizontal="center" wrapText="1"/>
    </xf>
    <xf numFmtId="0" fontId="0" fillId="35" borderId="57" xfId="0" applyFill="1" applyBorder="1" applyAlignment="1">
      <alignment horizontal="center" wrapText="1"/>
    </xf>
    <xf numFmtId="6" fontId="0" fillId="35" borderId="58" xfId="0" applyNumberFormat="1" applyFill="1" applyBorder="1" applyAlignment="1">
      <alignment horizontal="center" wrapText="1"/>
    </xf>
    <xf numFmtId="6" fontId="0" fillId="35" borderId="56" xfId="0" applyNumberFormat="1" applyFill="1" applyBorder="1" applyAlignment="1">
      <alignment horizontal="center" wrapText="1"/>
    </xf>
    <xf numFmtId="6" fontId="0" fillId="35" borderId="57" xfId="0" applyNumberFormat="1" applyFill="1" applyBorder="1" applyAlignment="1">
      <alignment horizontal="center" wrapText="1"/>
    </xf>
    <xf numFmtId="0" fontId="2" fillId="35" borderId="56" xfId="0" applyFont="1" applyFill="1" applyBorder="1" applyAlignment="1">
      <alignment horizontal="left" vertical="center" wrapText="1"/>
    </xf>
    <xf numFmtId="0" fontId="0" fillId="35" borderId="60" xfId="0" applyFill="1" applyBorder="1" applyAlignment="1">
      <alignment horizontal="center" wrapText="1"/>
    </xf>
    <xf numFmtId="49" fontId="41" fillId="0" borderId="0" xfId="0" applyNumberFormat="1" applyFont="1" applyAlignment="1">
      <alignment/>
    </xf>
    <xf numFmtId="0" fontId="25" fillId="33" borderId="15" xfId="0" applyFont="1" applyFill="1" applyBorder="1" applyAlignment="1">
      <alignment/>
    </xf>
    <xf numFmtId="0" fontId="25" fillId="33" borderId="0" xfId="0" applyFont="1" applyFill="1" applyAlignment="1">
      <alignment/>
    </xf>
    <xf numFmtId="0" fontId="25" fillId="33" borderId="17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17" xfId="0" applyFont="1" applyFill="1" applyBorder="1" applyAlignment="1">
      <alignment/>
    </xf>
    <xf numFmtId="168" fontId="32" fillId="35" borderId="19" xfId="0" applyNumberFormat="1" applyFont="1" applyFill="1" applyBorder="1" applyAlignment="1">
      <alignment horizontal="right"/>
    </xf>
    <xf numFmtId="0" fontId="19" fillId="35" borderId="0" xfId="0" applyFont="1" applyFill="1" applyAlignment="1">
      <alignment/>
    </xf>
    <xf numFmtId="0" fontId="60" fillId="39" borderId="42" xfId="0" applyFont="1" applyFill="1" applyBorder="1" applyAlignment="1">
      <alignment/>
    </xf>
    <xf numFmtId="0" fontId="60" fillId="39" borderId="36" xfId="0" applyFont="1" applyFill="1" applyBorder="1" applyAlignment="1">
      <alignment/>
    </xf>
    <xf numFmtId="0" fontId="60" fillId="39" borderId="61" xfId="0" applyFont="1" applyFill="1" applyBorder="1" applyAlignment="1">
      <alignment/>
    </xf>
    <xf numFmtId="0" fontId="70" fillId="39" borderId="42" xfId="0" applyFont="1" applyFill="1" applyBorder="1" applyAlignment="1">
      <alignment/>
    </xf>
    <xf numFmtId="0" fontId="70" fillId="39" borderId="36" xfId="0" applyFont="1" applyFill="1" applyBorder="1" applyAlignment="1">
      <alignment/>
    </xf>
    <xf numFmtId="0" fontId="70" fillId="39" borderId="61" xfId="0" applyFont="1" applyFill="1" applyBorder="1" applyAlignment="1">
      <alignment/>
    </xf>
    <xf numFmtId="0" fontId="32" fillId="0" borderId="0" xfId="0" applyFont="1" applyBorder="1" applyAlignment="1">
      <alignment/>
    </xf>
    <xf numFmtId="0" fontId="61" fillId="35" borderId="62" xfId="0" applyFont="1" applyFill="1" applyBorder="1" applyAlignment="1">
      <alignment/>
    </xf>
    <xf numFmtId="0" fontId="61" fillId="35" borderId="63" xfId="0" applyFont="1" applyFill="1" applyBorder="1" applyAlignment="1">
      <alignment/>
    </xf>
    <xf numFmtId="177" fontId="32" fillId="0" borderId="32" xfId="0" applyNumberFormat="1" applyFont="1" applyBorder="1" applyAlignment="1">
      <alignment/>
    </xf>
    <xf numFmtId="177" fontId="32" fillId="0" borderId="31" xfId="0" applyNumberFormat="1" applyFont="1" applyBorder="1" applyAlignment="1">
      <alignment/>
    </xf>
    <xf numFmtId="169" fontId="32" fillId="35" borderId="31" xfId="0" applyNumberFormat="1" applyFont="1" applyFill="1" applyBorder="1" applyAlignment="1">
      <alignment/>
    </xf>
    <xf numFmtId="169" fontId="32" fillId="35" borderId="64" xfId="0" applyNumberFormat="1" applyFont="1" applyFill="1" applyBorder="1" applyAlignment="1">
      <alignment/>
    </xf>
    <xf numFmtId="169" fontId="32" fillId="35" borderId="65" xfId="0" applyNumberFormat="1" applyFont="1" applyFill="1" applyBorder="1" applyAlignment="1">
      <alignment/>
    </xf>
    <xf numFmtId="169" fontId="32" fillId="35" borderId="48" xfId="0" applyNumberFormat="1" applyFont="1" applyFill="1" applyBorder="1" applyAlignment="1">
      <alignment horizontal="right"/>
    </xf>
    <xf numFmtId="0" fontId="13" fillId="35" borderId="32" xfId="0" applyFont="1" applyFill="1" applyBorder="1" applyAlignment="1" applyProtection="1">
      <alignment/>
      <protection/>
    </xf>
    <xf numFmtId="0" fontId="13" fillId="35" borderId="30" xfId="0" applyFont="1" applyFill="1" applyBorder="1" applyAlignment="1" applyProtection="1">
      <alignment/>
      <protection/>
    </xf>
    <xf numFmtId="0" fontId="13" fillId="35" borderId="31" xfId="0" applyFont="1" applyFill="1" applyBorder="1" applyAlignment="1" applyProtection="1">
      <alignment/>
      <protection/>
    </xf>
    <xf numFmtId="0" fontId="13" fillId="35" borderId="55" xfId="0" applyFont="1" applyFill="1" applyBorder="1" applyAlignment="1" applyProtection="1">
      <alignment horizontal="center"/>
      <protection/>
    </xf>
    <xf numFmtId="0" fontId="13" fillId="35" borderId="35" xfId="0" applyFont="1" applyFill="1" applyBorder="1" applyAlignment="1" applyProtection="1">
      <alignment horizontal="center"/>
      <protection/>
    </xf>
    <xf numFmtId="0" fontId="13" fillId="35" borderId="46" xfId="0" applyFont="1" applyFill="1" applyBorder="1" applyAlignment="1">
      <alignment/>
    </xf>
    <xf numFmtId="0" fontId="2" fillId="35" borderId="58" xfId="0" applyFont="1" applyFill="1" applyBorder="1" applyAlignment="1">
      <alignment vertical="center" wrapText="1"/>
    </xf>
    <xf numFmtId="0" fontId="2" fillId="35" borderId="57" xfId="0" applyFont="1" applyFill="1" applyBorder="1" applyAlignment="1">
      <alignment vertical="center" wrapText="1"/>
    </xf>
    <xf numFmtId="0" fontId="2" fillId="35" borderId="58" xfId="0" applyFont="1" applyFill="1" applyBorder="1" applyAlignment="1">
      <alignment wrapText="1"/>
    </xf>
    <xf numFmtId="0" fontId="2" fillId="35" borderId="57" xfId="0" applyFont="1" applyFill="1" applyBorder="1" applyAlignment="1">
      <alignment wrapText="1"/>
    </xf>
    <xf numFmtId="0" fontId="2" fillId="35" borderId="56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35" borderId="66" xfId="0" applyFont="1" applyFill="1" applyBorder="1" applyAlignment="1">
      <alignment horizontal="center" vertical="center" wrapText="1"/>
    </xf>
    <xf numFmtId="0" fontId="19" fillId="35" borderId="0" xfId="0" applyFont="1" applyFill="1" applyAlignment="1">
      <alignment/>
    </xf>
    <xf numFmtId="0" fontId="0" fillId="35" borderId="67" xfId="0" applyFill="1" applyBorder="1" applyAlignment="1">
      <alignment wrapText="1"/>
    </xf>
    <xf numFmtId="0" fontId="2" fillId="35" borderId="41" xfId="0" applyFont="1" applyFill="1" applyBorder="1" applyAlignment="1">
      <alignment horizontal="center" vertical="center" wrapText="1"/>
    </xf>
    <xf numFmtId="0" fontId="2" fillId="35" borderId="68" xfId="0" applyFont="1" applyFill="1" applyBorder="1" applyAlignment="1">
      <alignment horizontal="center" vertical="center" wrapText="1"/>
    </xf>
    <xf numFmtId="0" fontId="2" fillId="35" borderId="69" xfId="0" applyFont="1" applyFill="1" applyBorder="1" applyAlignment="1">
      <alignment vertical="center" wrapText="1"/>
    </xf>
    <xf numFmtId="0" fontId="2" fillId="35" borderId="70" xfId="0" applyFont="1" applyFill="1" applyBorder="1" applyAlignment="1">
      <alignment vertical="center" wrapText="1"/>
    </xf>
    <xf numFmtId="0" fontId="2" fillId="35" borderId="70" xfId="0" applyFont="1" applyFill="1" applyBorder="1" applyAlignment="1">
      <alignment horizontal="center" vertical="center" wrapText="1"/>
    </xf>
    <xf numFmtId="0" fontId="2" fillId="35" borderId="61" xfId="0" applyFont="1" applyFill="1" applyBorder="1" applyAlignment="1">
      <alignment vertical="center" wrapText="1"/>
    </xf>
    <xf numFmtId="0" fontId="2" fillId="35" borderId="71" xfId="0" applyFont="1" applyFill="1" applyBorder="1" applyAlignment="1">
      <alignment horizontal="center" vertical="center" wrapText="1"/>
    </xf>
    <xf numFmtId="0" fontId="0" fillId="35" borderId="41" xfId="0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35" borderId="56" xfId="0" applyFill="1" applyBorder="1" applyAlignment="1">
      <alignment horizontal="left" vertical="center" wrapText="1"/>
    </xf>
    <xf numFmtId="0" fontId="0" fillId="35" borderId="57" xfId="0" applyFill="1" applyBorder="1" applyAlignment="1">
      <alignment horizontal="left" vertical="center" wrapText="1"/>
    </xf>
    <xf numFmtId="0" fontId="2" fillId="35" borderId="72" xfId="0" applyFont="1" applyFill="1" applyBorder="1" applyAlignment="1">
      <alignment horizontal="center" vertical="center" wrapText="1"/>
    </xf>
    <xf numFmtId="0" fontId="2" fillId="35" borderId="73" xfId="0" applyFont="1" applyFill="1" applyBorder="1" applyAlignment="1">
      <alignment horizontal="center" vertical="center" wrapText="1"/>
    </xf>
    <xf numFmtId="0" fontId="2" fillId="35" borderId="74" xfId="0" applyFont="1" applyFill="1" applyBorder="1" applyAlignment="1">
      <alignment horizontal="center" vertical="center" wrapText="1"/>
    </xf>
    <xf numFmtId="0" fontId="2" fillId="35" borderId="75" xfId="0" applyFont="1" applyFill="1" applyBorder="1" applyAlignment="1">
      <alignment horizontal="center" vertical="center" wrapText="1"/>
    </xf>
    <xf numFmtId="0" fontId="0" fillId="35" borderId="60" xfId="0" applyFill="1" applyBorder="1" applyAlignment="1">
      <alignment wrapText="1"/>
    </xf>
    <xf numFmtId="0" fontId="2" fillId="35" borderId="39" xfId="0" applyFont="1" applyFill="1" applyBorder="1" applyAlignment="1">
      <alignment horizontal="center" vertical="center" wrapText="1"/>
    </xf>
    <xf numFmtId="0" fontId="2" fillId="35" borderId="72" xfId="0" applyFont="1" applyFill="1" applyBorder="1" applyAlignment="1">
      <alignment vertical="center" wrapText="1"/>
    </xf>
    <xf numFmtId="0" fontId="2" fillId="35" borderId="73" xfId="0" applyFont="1" applyFill="1" applyBorder="1" applyAlignment="1">
      <alignment vertical="center" wrapText="1"/>
    </xf>
    <xf numFmtId="0" fontId="2" fillId="35" borderId="66" xfId="0" applyFont="1" applyFill="1" applyBorder="1" applyAlignment="1">
      <alignment vertical="center" wrapText="1"/>
    </xf>
    <xf numFmtId="0" fontId="2" fillId="35" borderId="75" xfId="0" applyFont="1" applyFill="1" applyBorder="1" applyAlignment="1">
      <alignment vertical="center" wrapText="1"/>
    </xf>
    <xf numFmtId="0" fontId="2" fillId="35" borderId="68" xfId="0" applyFont="1" applyFill="1" applyBorder="1" applyAlignment="1">
      <alignment vertical="center" wrapText="1"/>
    </xf>
    <xf numFmtId="0" fontId="0" fillId="35" borderId="39" xfId="0" applyFill="1" applyBorder="1" applyAlignment="1">
      <alignment horizontal="center" vertical="center" wrapText="1"/>
    </xf>
    <xf numFmtId="0" fontId="0" fillId="35" borderId="0" xfId="0" applyFill="1" applyAlignment="1">
      <alignment wrapText="1"/>
    </xf>
    <xf numFmtId="0" fontId="58" fillId="35" borderId="0" xfId="53" applyFill="1" applyAlignment="1" applyProtection="1">
      <alignment horizontal="center" wrapText="1"/>
      <protection/>
    </xf>
    <xf numFmtId="0" fontId="0" fillId="35" borderId="76" xfId="0" applyFill="1" applyBorder="1" applyAlignment="1">
      <alignment horizontal="center" wrapText="1"/>
    </xf>
    <xf numFmtId="0" fontId="0" fillId="35" borderId="67" xfId="0" applyFill="1" applyBorder="1" applyAlignment="1">
      <alignment horizontal="center" wrapText="1"/>
    </xf>
    <xf numFmtId="0" fontId="0" fillId="0" borderId="0" xfId="0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en hypertexte" xfId="55"/>
    <cellStyle name="Lien hypertexte visité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1"/>
  <sheetViews>
    <sheetView showGridLines="0" tabSelected="1" zoomScale="75" zoomScaleNormal="75" zoomScaleSheetLayoutView="75" zoomScalePageLayoutView="0" workbookViewId="0" topLeftCell="A1">
      <selection activeCell="F3" sqref="F3"/>
    </sheetView>
  </sheetViews>
  <sheetFormatPr defaultColWidth="9.140625" defaultRowHeight="24.75" customHeight="1"/>
  <cols>
    <col min="1" max="1" width="9.28125" style="175" customWidth="1"/>
    <col min="2" max="2" width="22.8515625" style="175" customWidth="1"/>
    <col min="3" max="4" width="9.140625" style="175" customWidth="1"/>
    <col min="5" max="5" width="9.57421875" style="175" customWidth="1"/>
    <col min="6" max="16384" width="9.140625" style="175" customWidth="1"/>
  </cols>
  <sheetData>
    <row r="1" spans="2:9" ht="24.75" customHeight="1">
      <c r="B1" s="176" t="s">
        <v>218</v>
      </c>
      <c r="D1" s="502" t="s">
        <v>219</v>
      </c>
      <c r="E1" s="502"/>
      <c r="F1" s="502"/>
      <c r="G1" s="502"/>
      <c r="H1" s="502"/>
      <c r="I1" s="502"/>
    </row>
    <row r="2" spans="3:12" s="177" customFormat="1" ht="24.75" customHeight="1">
      <c r="C2" s="178"/>
      <c r="G2" s="178"/>
      <c r="H2" s="178"/>
      <c r="I2" s="175"/>
      <c r="J2" s="175"/>
      <c r="K2" s="175"/>
      <c r="L2" s="175"/>
    </row>
    <row r="3" spans="2:13" s="177" customFormat="1" ht="24.75" customHeight="1">
      <c r="B3" s="175"/>
      <c r="C3" s="175"/>
      <c r="D3" s="179"/>
      <c r="E3" s="179" t="s">
        <v>220</v>
      </c>
      <c r="F3" s="179"/>
      <c r="G3" s="179"/>
      <c r="H3" s="179"/>
      <c r="I3" s="175"/>
      <c r="J3" s="175"/>
      <c r="K3" s="180"/>
      <c r="L3" s="180"/>
      <c r="M3" s="180"/>
    </row>
    <row r="4" spans="2:13" s="177" customFormat="1" ht="24.75" customHeight="1">
      <c r="B4" s="180" t="s">
        <v>221</v>
      </c>
      <c r="C4" s="175"/>
      <c r="D4" s="175"/>
      <c r="E4" s="179"/>
      <c r="F4" s="181"/>
      <c r="G4" s="179"/>
      <c r="H4" s="179"/>
      <c r="I4" s="175"/>
      <c r="J4" s="179"/>
      <c r="K4" s="180"/>
      <c r="L4" s="180"/>
      <c r="M4" s="180"/>
    </row>
    <row r="5" spans="2:13" s="177" customFormat="1" ht="24.75" customHeight="1">
      <c r="B5" s="175" t="s">
        <v>222</v>
      </c>
      <c r="C5" s="175"/>
      <c r="D5" s="175"/>
      <c r="E5" s="175"/>
      <c r="F5" s="175"/>
      <c r="G5" s="175"/>
      <c r="H5" s="175"/>
      <c r="I5" s="175"/>
      <c r="J5" s="175"/>
      <c r="K5" s="175"/>
      <c r="L5" s="180"/>
      <c r="M5" s="180"/>
    </row>
    <row r="6" spans="2:13" ht="24.75" customHeight="1">
      <c r="B6" s="182" t="s">
        <v>223</v>
      </c>
      <c r="L6" s="180"/>
      <c r="M6" s="180"/>
    </row>
    <row r="7" spans="2:13" ht="24.75" customHeight="1">
      <c r="B7" s="179"/>
      <c r="C7" s="183" t="s">
        <v>0</v>
      </c>
      <c r="D7" s="184"/>
      <c r="E7" s="184"/>
      <c r="F7" s="184"/>
      <c r="G7" s="184"/>
      <c r="H7" s="184"/>
      <c r="I7" s="180"/>
      <c r="J7" s="180"/>
      <c r="K7" s="180"/>
      <c r="L7" s="180"/>
      <c r="M7" s="180"/>
    </row>
    <row r="8" spans="2:13" ht="24.75" customHeight="1">
      <c r="B8" s="177" t="s">
        <v>226</v>
      </c>
      <c r="C8" s="185"/>
      <c r="D8" s="185"/>
      <c r="I8" s="180"/>
      <c r="J8" s="180"/>
      <c r="K8" s="180"/>
      <c r="L8" s="180"/>
      <c r="M8" s="180"/>
    </row>
    <row r="9" spans="2:13" ht="24.75" customHeight="1">
      <c r="B9" s="185" t="s">
        <v>20</v>
      </c>
      <c r="I9" s="180"/>
      <c r="J9" s="180"/>
      <c r="K9" s="180"/>
      <c r="L9" s="180"/>
      <c r="M9" s="180"/>
    </row>
    <row r="10" spans="2:13" ht="24.75" customHeight="1">
      <c r="B10" s="185" t="s">
        <v>227</v>
      </c>
      <c r="I10" s="180"/>
      <c r="J10" s="180"/>
      <c r="K10" s="180"/>
      <c r="L10" s="180"/>
      <c r="M10" s="180"/>
    </row>
    <row r="11" spans="2:8" ht="24.75" customHeight="1">
      <c r="B11" s="186" t="s">
        <v>225</v>
      </c>
      <c r="D11" s="178"/>
      <c r="E11" s="178"/>
      <c r="F11" s="178"/>
      <c r="G11" s="178"/>
      <c r="H11" s="178"/>
    </row>
    <row r="12" ht="24.75" customHeight="1">
      <c r="B12" s="185" t="s">
        <v>1</v>
      </c>
    </row>
    <row r="13" ht="24.75" customHeight="1">
      <c r="B13" s="185" t="s">
        <v>2</v>
      </c>
    </row>
    <row r="14" ht="24.75" customHeight="1">
      <c r="B14" s="187" t="s">
        <v>224</v>
      </c>
    </row>
    <row r="15" ht="24.75" customHeight="1">
      <c r="B15" s="175" t="s">
        <v>233</v>
      </c>
    </row>
    <row r="16" ht="24.75" customHeight="1">
      <c r="B16" s="175" t="s">
        <v>3</v>
      </c>
    </row>
    <row r="17" ht="24.75" customHeight="1">
      <c r="B17" s="175" t="s">
        <v>231</v>
      </c>
    </row>
    <row r="18" ht="24.75" customHeight="1">
      <c r="B18" s="175" t="s">
        <v>4</v>
      </c>
    </row>
    <row r="19" spans="2:14" ht="24.75" customHeight="1">
      <c r="B19" s="175" t="s">
        <v>5</v>
      </c>
      <c r="N19" s="188"/>
    </row>
    <row r="20" ht="24.75" customHeight="1">
      <c r="B20" s="175" t="s">
        <v>6</v>
      </c>
    </row>
    <row r="21" ht="24.75" customHeight="1">
      <c r="B21" s="185" t="s">
        <v>234</v>
      </c>
    </row>
    <row r="22" ht="24.75" customHeight="1">
      <c r="B22" s="189" t="s">
        <v>232</v>
      </c>
    </row>
    <row r="23" ht="24.75" customHeight="1">
      <c r="B23" s="175" t="s">
        <v>7</v>
      </c>
    </row>
    <row r="24" spans="2:3" ht="24.75" customHeight="1">
      <c r="B24" s="175" t="s">
        <v>8</v>
      </c>
      <c r="C24" s="189" t="s">
        <v>235</v>
      </c>
    </row>
    <row r="25" ht="24.75" customHeight="1">
      <c r="B25" s="175" t="s">
        <v>9</v>
      </c>
    </row>
    <row r="26" spans="4:10" ht="24.75" customHeight="1">
      <c r="D26" s="175" t="s">
        <v>10</v>
      </c>
      <c r="E26" s="175" t="s">
        <v>11</v>
      </c>
      <c r="G26" s="175" t="s">
        <v>12</v>
      </c>
      <c r="I26" s="175" t="s">
        <v>13</v>
      </c>
      <c r="J26" s="175" t="s">
        <v>14</v>
      </c>
    </row>
    <row r="27" spans="2:10" ht="24.75" customHeight="1">
      <c r="B27" s="175" t="s">
        <v>15</v>
      </c>
      <c r="D27" s="190">
        <v>0.05</v>
      </c>
      <c r="E27" s="190">
        <v>0.025</v>
      </c>
      <c r="F27" s="190"/>
      <c r="G27" s="190">
        <v>0.01</v>
      </c>
      <c r="H27" s="190"/>
      <c r="I27" s="190">
        <v>0.005</v>
      </c>
      <c r="J27" s="191">
        <f>SUM(D27:I27)</f>
        <v>0.09000000000000001</v>
      </c>
    </row>
    <row r="28" spans="2:10" ht="24.75" customHeight="1">
      <c r="B28" s="175" t="s">
        <v>16</v>
      </c>
      <c r="D28" s="190">
        <v>0.05</v>
      </c>
      <c r="E28" s="190">
        <v>0.025</v>
      </c>
      <c r="F28" s="190"/>
      <c r="G28" s="190">
        <v>0.0025</v>
      </c>
      <c r="H28" s="190"/>
      <c r="I28" s="190">
        <v>0.005</v>
      </c>
      <c r="J28" s="191">
        <f>SUM(D28:I28)</f>
        <v>0.08250000000000002</v>
      </c>
    </row>
    <row r="29" spans="2:10" ht="24.75" customHeight="1">
      <c r="B29" s="175" t="s">
        <v>17</v>
      </c>
      <c r="D29" s="190">
        <v>0.05</v>
      </c>
      <c r="E29" s="190">
        <v>0.05</v>
      </c>
      <c r="F29" s="190"/>
      <c r="G29" s="190">
        <v>0.015</v>
      </c>
      <c r="H29" s="190"/>
      <c r="I29" s="190">
        <v>0.005</v>
      </c>
      <c r="J29" s="191">
        <f>SUM(D29:I29)</f>
        <v>0.12000000000000001</v>
      </c>
    </row>
    <row r="31" ht="24.75" customHeight="1">
      <c r="B31" s="175" t="s">
        <v>18</v>
      </c>
    </row>
    <row r="32" ht="24.75" customHeight="1">
      <c r="B32" s="175" t="s">
        <v>19</v>
      </c>
    </row>
    <row r="33" ht="24.75" customHeight="1">
      <c r="B33" s="192" t="s">
        <v>236</v>
      </c>
    </row>
    <row r="34" spans="2:10" ht="24.75" customHeight="1">
      <c r="B34" s="175" t="s">
        <v>228</v>
      </c>
      <c r="J34" s="180"/>
    </row>
    <row r="35" spans="2:10" ht="24.75" customHeight="1">
      <c r="B35" s="175" t="s">
        <v>21</v>
      </c>
      <c r="J35" s="180"/>
    </row>
    <row r="36" ht="24.75" customHeight="1">
      <c r="B36" s="175" t="s">
        <v>22</v>
      </c>
    </row>
    <row r="37" ht="24.75" customHeight="1">
      <c r="B37" s="175" t="s">
        <v>23</v>
      </c>
    </row>
    <row r="38" ht="24.75" customHeight="1">
      <c r="B38" s="185" t="s">
        <v>237</v>
      </c>
    </row>
    <row r="39" ht="24.75" customHeight="1">
      <c r="B39" s="185" t="s">
        <v>238</v>
      </c>
    </row>
    <row r="40" ht="24.75" customHeight="1">
      <c r="B40" s="175" t="s">
        <v>24</v>
      </c>
    </row>
    <row r="41" ht="24.75" customHeight="1">
      <c r="B41" s="175" t="s">
        <v>239</v>
      </c>
    </row>
    <row r="42" ht="24.75" customHeight="1">
      <c r="B42" s="175" t="s">
        <v>240</v>
      </c>
    </row>
    <row r="43" ht="24.75" customHeight="1">
      <c r="B43" s="193" t="s">
        <v>25</v>
      </c>
    </row>
    <row r="44" ht="24.75" customHeight="1">
      <c r="B44" s="194" t="s">
        <v>230</v>
      </c>
    </row>
    <row r="46" spans="2:9" ht="24.75" customHeight="1">
      <c r="B46" s="195" t="s">
        <v>229</v>
      </c>
      <c r="E46" s="179"/>
      <c r="F46" s="181"/>
      <c r="G46" s="179"/>
      <c r="H46" s="179"/>
      <c r="I46" s="179"/>
    </row>
    <row r="47" spans="5:9" ht="24.75" customHeight="1">
      <c r="E47" s="179"/>
      <c r="F47" s="181"/>
      <c r="G47" s="179"/>
      <c r="H47" s="179"/>
      <c r="I47" s="179"/>
    </row>
    <row r="51" ht="24.75" customHeight="1">
      <c r="B51" s="180"/>
    </row>
  </sheetData>
  <sheetProtection/>
  <printOptions/>
  <pageMargins left="0.75" right="0.75" top="1" bottom="1" header="0.5" footer="0.5"/>
  <pageSetup horizontalDpi="600" verticalDpi="600" orientation="portrait" scale="50" r:id="rId1"/>
  <headerFooter alignWithMargins="0">
    <oddHeader>&amp;C&amp;A</oddHeader>
    <oddFooter>&amp;L&amp;D&amp;C&amp;F&amp;R&amp;P/&amp;N</oddFooter>
  </headerFooter>
  <rowBreaks count="1" manualBreakCount="1">
    <brk id="47" min="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Q36"/>
  <sheetViews>
    <sheetView showGridLines="0" showZeros="0" zoomScale="75" zoomScaleNormal="75" zoomScalePageLayoutView="0" workbookViewId="0" topLeftCell="A1">
      <selection activeCell="B7" sqref="B7:C7"/>
    </sheetView>
  </sheetViews>
  <sheetFormatPr defaultColWidth="19.7109375" defaultRowHeight="18" customHeight="1"/>
  <cols>
    <col min="1" max="1" width="9.140625" style="18" customWidth="1"/>
    <col min="2" max="2" width="28.28125" style="29" customWidth="1"/>
    <col min="3" max="3" width="14.00390625" style="28" customWidth="1"/>
    <col min="4" max="4" width="11.421875" style="28" customWidth="1"/>
    <col min="5" max="5" width="17.140625" style="28" customWidth="1"/>
    <col min="6" max="6" width="20.7109375" style="28" customWidth="1"/>
    <col min="7" max="8" width="19.7109375" style="28" customWidth="1"/>
    <col min="9" max="9" width="19.7109375" style="23" customWidth="1"/>
    <col min="10" max="15" width="19.7109375" style="18" customWidth="1"/>
    <col min="16" max="16" width="19.7109375" style="0" customWidth="1"/>
    <col min="17" max="16384" width="19.7109375" style="18" customWidth="1"/>
  </cols>
  <sheetData>
    <row r="1" spans="2:3" ht="18" customHeight="1" thickBot="1">
      <c r="B1" s="77" t="s">
        <v>112</v>
      </c>
      <c r="C1" s="196" t="s">
        <v>245</v>
      </c>
    </row>
    <row r="2" spans="2:17" s="17" customFormat="1" ht="18" customHeight="1" thickBot="1">
      <c r="B2" s="15" t="s">
        <v>54</v>
      </c>
      <c r="C2" s="15" t="s">
        <v>97</v>
      </c>
      <c r="D2" s="16">
        <v>45</v>
      </c>
      <c r="E2" s="198" t="s">
        <v>98</v>
      </c>
      <c r="F2" s="31"/>
      <c r="G2" s="15"/>
      <c r="H2" s="33" t="s">
        <v>99</v>
      </c>
      <c r="I2" s="116" t="s">
        <v>243</v>
      </c>
      <c r="P2"/>
      <c r="Q2" s="18"/>
    </row>
    <row r="3" spans="2:17" s="17" customFormat="1" ht="18" customHeight="1" thickBot="1">
      <c r="B3" s="15" t="s">
        <v>85</v>
      </c>
      <c r="C3" s="15" t="s">
        <v>97</v>
      </c>
      <c r="D3" s="16">
        <v>640</v>
      </c>
      <c r="E3" s="30" t="s">
        <v>250</v>
      </c>
      <c r="F3" s="32"/>
      <c r="G3" s="19" t="s">
        <v>100</v>
      </c>
      <c r="H3" s="20">
        <v>0.45</v>
      </c>
      <c r="I3" s="117" t="s">
        <v>97</v>
      </c>
      <c r="P3"/>
      <c r="Q3" s="18"/>
    </row>
    <row r="4" spans="2:17" s="17" customFormat="1" ht="18" customHeight="1" thickBot="1">
      <c r="B4" s="15" t="s">
        <v>86</v>
      </c>
      <c r="C4" s="15" t="s">
        <v>97</v>
      </c>
      <c r="D4" s="16">
        <v>940</v>
      </c>
      <c r="E4" s="209" t="s">
        <v>101</v>
      </c>
      <c r="F4" s="32"/>
      <c r="G4" s="15" t="s">
        <v>97</v>
      </c>
      <c r="H4" s="16">
        <v>1320</v>
      </c>
      <c r="I4" s="197">
        <f>H4*H3/87%</f>
        <v>682.7586206896552</v>
      </c>
      <c r="P4"/>
      <c r="Q4" s="18"/>
    </row>
    <row r="5" spans="2:17" s="17" customFormat="1" ht="18" customHeight="1" thickBot="1">
      <c r="B5" s="15" t="s">
        <v>89</v>
      </c>
      <c r="C5" s="15" t="s">
        <v>97</v>
      </c>
      <c r="D5" s="16">
        <v>735</v>
      </c>
      <c r="E5" s="503" t="s">
        <v>241</v>
      </c>
      <c r="F5" s="504"/>
      <c r="G5" s="505"/>
      <c r="H5" s="210">
        <v>100</v>
      </c>
      <c r="J5" s="22"/>
      <c r="P5"/>
      <c r="Q5" s="18"/>
    </row>
    <row r="6" spans="2:17" s="17" customFormat="1" ht="18" customHeight="1" thickBot="1">
      <c r="B6" s="15" t="s">
        <v>102</v>
      </c>
      <c r="C6" s="15" t="s">
        <v>97</v>
      </c>
      <c r="D6" s="16">
        <v>6000</v>
      </c>
      <c r="E6" s="506" t="s">
        <v>242</v>
      </c>
      <c r="F6" s="507"/>
      <c r="G6" s="508"/>
      <c r="H6" s="16">
        <v>2</v>
      </c>
      <c r="I6" s="21"/>
      <c r="K6" s="213"/>
      <c r="P6"/>
      <c r="Q6" s="18"/>
    </row>
    <row r="7" spans="2:8" ht="18" customHeight="1" thickBot="1">
      <c r="B7" s="510" t="str">
        <f>'3. Année de production  '!A41</f>
        <v>Coût de la production de foin</v>
      </c>
      <c r="C7" s="510"/>
      <c r="D7" s="28">
        <f>'3. Année de production  '!C41</f>
        <v>0</v>
      </c>
      <c r="E7" s="200">
        <f>'3. Année de production  '!D41</f>
        <v>0</v>
      </c>
      <c r="F7" s="509" t="str">
        <f>'3. Année de production  '!E41</f>
        <v>En champs</v>
      </c>
      <c r="G7" s="509"/>
      <c r="H7" s="201">
        <f>'3. Année de production  '!G41</f>
        <v>0</v>
      </c>
    </row>
    <row r="8" spans="2:17" s="17" customFormat="1" ht="18" customHeight="1" thickBot="1" thickTop="1">
      <c r="B8" s="274" t="str">
        <f>'3. Année de production  '!A42</f>
        <v>*F.É. : Foin Équivalent</v>
      </c>
      <c r="C8" s="199">
        <f>'3. Année de production  '!B42</f>
        <v>0</v>
      </c>
      <c r="D8" s="199">
        <f>'3. Année de production  '!C42</f>
        <v>0</v>
      </c>
      <c r="E8" s="202" t="str">
        <f>'3. Année de production  '!D42</f>
        <v>par acre</v>
      </c>
      <c r="F8" s="214" t="str">
        <f>'3. Année de production  '!E42</f>
        <v>par tonne impériale</v>
      </c>
      <c r="G8" s="203" t="str">
        <f>'3. Année de production  '!F42</f>
        <v>par livre</v>
      </c>
      <c r="H8" s="204" t="str">
        <f>'3. Année de production  '!G42</f>
        <v>par balle</v>
      </c>
      <c r="P8"/>
      <c r="Q8" s="18"/>
    </row>
    <row r="9" spans="2:17" s="23" customFormat="1" ht="18" customHeight="1" thickBot="1" thickTop="1">
      <c r="B9" s="205" t="str">
        <f>'3. Année de production  '!A43</f>
        <v>petite balle carré</v>
      </c>
      <c r="C9" s="206">
        <f>'3. Année de production  '!B43</f>
        <v>0</v>
      </c>
      <c r="D9" s="206">
        <f>'3. Année de production  '!C43</f>
        <v>0</v>
      </c>
      <c r="E9" s="216">
        <f>'3. Année de production  '!D43</f>
        <v>350.5452685099847</v>
      </c>
      <c r="F9" s="216">
        <f>'3. Année de production  '!E43</f>
        <v>116.84842283666157</v>
      </c>
      <c r="G9" s="217">
        <f>'3. Année de production  '!F43</f>
        <v>0.05842421141833078</v>
      </c>
      <c r="H9" s="218">
        <f>'3. Année de production  '!G43</f>
        <v>2.629089513824885</v>
      </c>
      <c r="P9"/>
      <c r="Q9" s="18"/>
    </row>
    <row r="10" spans="2:8" ht="18" customHeight="1" thickBot="1" thickTop="1">
      <c r="B10" s="205" t="str">
        <f>'3. Année de production  '!A44</f>
        <v>balles rondes 4"x4'</v>
      </c>
      <c r="C10" s="208">
        <f>'3. Année de production  '!B44</f>
        <v>0</v>
      </c>
      <c r="D10" s="208">
        <f>'3. Année de production  '!C44</f>
        <v>0</v>
      </c>
      <c r="E10" s="222">
        <f>'3. Année de production  '!D44</f>
        <v>337.4619351766513</v>
      </c>
      <c r="F10" s="165">
        <f>'3. Année de production  '!E44</f>
        <v>112.48731172555043</v>
      </c>
      <c r="G10" s="166">
        <f>'3. Année de production  '!F44</f>
        <v>0.056243655862775216</v>
      </c>
      <c r="H10" s="223">
        <f>'3. Année de production  '!G44</f>
        <v>35.99593975217614</v>
      </c>
    </row>
    <row r="11" spans="2:8" ht="18" customHeight="1" thickBot="1" thickTop="1">
      <c r="B11" s="205" t="str">
        <f>'3. Année de production  '!A45</f>
        <v>balles rondes 4'x5'</v>
      </c>
      <c r="C11" s="208">
        <f>'3. Année de production  '!B45</f>
        <v>0</v>
      </c>
      <c r="D11" s="208">
        <f>'3. Année de production  '!C45</f>
        <v>0</v>
      </c>
      <c r="E11" s="219">
        <f>'3. Année de production  '!D45</f>
        <v>325.8927862404811</v>
      </c>
      <c r="F11" s="219">
        <f>'3. Année de production  '!E45</f>
        <v>108.63092874682704</v>
      </c>
      <c r="G11" s="220">
        <f>'3. Année de production  '!F45</f>
        <v>0.054315464373413516</v>
      </c>
      <c r="H11" s="221">
        <f>'3. Année de production  '!G45</f>
        <v>51.0565365110087</v>
      </c>
    </row>
    <row r="12" spans="2:8" ht="18" customHeight="1" thickBot="1" thickTop="1">
      <c r="B12" s="205" t="str">
        <f>'3. Année de production  '!A46</f>
        <v>enveloppées 4'x4</v>
      </c>
      <c r="C12" s="215" t="str">
        <f>'3. Année de production  '!B46</f>
        <v>En F.É.</v>
      </c>
      <c r="D12" s="208">
        <f>'3. Année de production  '!C46</f>
        <v>0</v>
      </c>
      <c r="E12" s="224">
        <f>'3. Année de production  '!D46</f>
        <v>330.7270866918028</v>
      </c>
      <c r="F12" s="224">
        <f>'3. Année de production  '!E46</f>
        <v>110.24236223060093</v>
      </c>
      <c r="G12" s="225">
        <f>'3. Année de production  '!F46</f>
        <v>0.05512118111530047</v>
      </c>
      <c r="H12" s="226">
        <f>'3. Année de production  '!G46</f>
        <v>37.63446158906722</v>
      </c>
    </row>
    <row r="13" spans="2:9" ht="18" customHeight="1" thickBot="1" thickTop="1">
      <c r="B13" s="205" t="str">
        <f>'3. Année de production  '!A47</f>
        <v>grosse balle carré</v>
      </c>
      <c r="C13" s="208">
        <f>'3. Année de production  '!B47</f>
        <v>0</v>
      </c>
      <c r="D13" s="208">
        <f>'3. Année de production  '!C47</f>
        <v>0</v>
      </c>
      <c r="E13" s="207">
        <f>'3. Année de production  '!D47</f>
        <v>338.3547923195085</v>
      </c>
      <c r="F13" s="207">
        <f>'3. Année de production  '!E47</f>
        <v>112.78493077316949</v>
      </c>
      <c r="G13" s="211">
        <f>'3. Année de production  '!F47</f>
        <v>0.056392465386584746</v>
      </c>
      <c r="H13" s="212">
        <f>'3. Année de production  '!G47</f>
        <v>41.448462059139786</v>
      </c>
      <c r="I13" s="126"/>
    </row>
    <row r="14" spans="2:8" ht="18" customHeight="1" thickBot="1" thickTop="1">
      <c r="B14" s="159">
        <f>'3. Année de production  '!A48</f>
        <v>0</v>
      </c>
      <c r="C14" s="160">
        <f>'3. Année de production  '!B48</f>
        <v>0</v>
      </c>
      <c r="D14" s="160">
        <f>'3. Année de production  '!C48</f>
        <v>0</v>
      </c>
      <c r="E14" s="161">
        <f>'3. Année de production  '!D48</f>
        <v>0</v>
      </c>
      <c r="F14" s="227" t="str">
        <f>'3. Année de production  '!E48</f>
        <v>En entreposage</v>
      </c>
      <c r="G14" s="162">
        <f>'3. Année de production  '!F48</f>
        <v>0</v>
      </c>
      <c r="H14" s="163">
        <f>'3. Année de production  '!G48</f>
        <v>0</v>
      </c>
    </row>
    <row r="15" spans="2:16" s="25" customFormat="1" ht="18" customHeight="1" thickBot="1" thickTop="1">
      <c r="B15" s="205" t="str">
        <f>'3. Année de production  '!A49</f>
        <v>petite balle carré</v>
      </c>
      <c r="C15" s="158">
        <f>'3. Année de production  '!B49</f>
        <v>0</v>
      </c>
      <c r="D15" s="158">
        <f>'3. Année de production  '!C49</f>
        <v>0</v>
      </c>
      <c r="E15" s="216">
        <f>'3. Année de production  '!D49</f>
        <v>410.5452685099846</v>
      </c>
      <c r="F15" s="216">
        <f>'3. Année de production  '!E49</f>
        <v>136.84842283666154</v>
      </c>
      <c r="G15" s="228">
        <f>'3. Année de production  '!F49</f>
        <v>0.06842421141833077</v>
      </c>
      <c r="H15" s="229">
        <f>'3. Année de production  '!G49</f>
        <v>3.0790895138248846</v>
      </c>
      <c r="I15" s="24"/>
      <c r="P15"/>
    </row>
    <row r="16" spans="2:8" ht="18" customHeight="1" thickBot="1" thickTop="1">
      <c r="B16" s="205" t="str">
        <f>'3. Année de production  '!A50</f>
        <v>balles rondes 4"x4'</v>
      </c>
      <c r="C16" s="158">
        <f>'3. Année de production  '!B50</f>
        <v>0</v>
      </c>
      <c r="D16" s="158">
        <f>'3. Année de production  '!C50</f>
        <v>0</v>
      </c>
      <c r="E16" s="165">
        <f>'3. Année de production  '!D50</f>
        <v>381.9931851766513</v>
      </c>
      <c r="F16" s="165">
        <f>'3. Année de production  '!E50</f>
        <v>127.33106172555046</v>
      </c>
      <c r="G16" s="167">
        <f>'3. Année de production  '!F50</f>
        <v>0.06366553086277522</v>
      </c>
      <c r="H16" s="168">
        <f>'3. Année de production  '!G50</f>
        <v>40.74593975217614</v>
      </c>
    </row>
    <row r="17" spans="2:8" ht="18" customHeight="1" thickBot="1" thickTop="1">
      <c r="B17" s="205" t="str">
        <f>'3. Année de production  '!A51</f>
        <v>balles rondes 4'x5'</v>
      </c>
      <c r="C17" s="158">
        <f>'3. Année de production  '!B51</f>
        <v>0</v>
      </c>
      <c r="D17" s="158">
        <f>'3. Année de production  '!C51</f>
        <v>0</v>
      </c>
      <c r="E17" s="230">
        <f>'3. Année de production  '!D51</f>
        <v>368.5949139000556</v>
      </c>
      <c r="F17" s="230">
        <f>'3. Année de production  '!E51</f>
        <v>122.86497130001852</v>
      </c>
      <c r="G17" s="231">
        <f>'3. Année de production  '!F51</f>
        <v>0.061432485650009264</v>
      </c>
      <c r="H17" s="232">
        <f>'3. Année de production  '!G51</f>
        <v>57.746536511008706</v>
      </c>
    </row>
    <row r="18" spans="2:8" ht="18" customHeight="1" thickBot="1" thickTop="1">
      <c r="B18" s="205" t="str">
        <f>'3. Année de production  '!A52</f>
        <v>enveloppées 4'x4</v>
      </c>
      <c r="C18" s="215" t="str">
        <f>'3. Année de production  '!B52</f>
        <v>En F.É.</v>
      </c>
      <c r="D18" s="158">
        <f>'3. Année de production  '!C52</f>
        <v>0</v>
      </c>
      <c r="E18" s="233">
        <f>'3. Année de production  '!D52</f>
        <v>379.0604200251361</v>
      </c>
      <c r="F18" s="233">
        <f>'3. Année de production  '!E52</f>
        <v>126.35347334171205</v>
      </c>
      <c r="G18" s="234">
        <f>'3. Année de production  '!F52</f>
        <v>0.06317673667085602</v>
      </c>
      <c r="H18" s="235">
        <f>'3. Année de production  '!G52</f>
        <v>43.134461589067215</v>
      </c>
    </row>
    <row r="19" spans="2:17" s="27" customFormat="1" ht="18" customHeight="1" thickBot="1" thickTop="1">
      <c r="B19" s="268" t="str">
        <f>'3. Année de production  '!A53</f>
        <v>grosse balle carré</v>
      </c>
      <c r="C19" s="270">
        <f>'3. Année de production  '!B53</f>
        <v>0</v>
      </c>
      <c r="D19" s="270">
        <f>'3. Année de production  '!C53</f>
        <v>0</v>
      </c>
      <c r="E19" s="207">
        <f>'3. Année de production  '!D53</f>
        <v>378.9262208909371</v>
      </c>
      <c r="F19" s="207">
        <f>'3. Année de production  '!E53</f>
        <v>126.30874029697902</v>
      </c>
      <c r="G19" s="236">
        <f>'3. Année de production  '!F53</f>
        <v>0.06315437014848951</v>
      </c>
      <c r="H19" s="237">
        <f>'3. Année de production  '!G53</f>
        <v>46.41846205913979</v>
      </c>
      <c r="I19" s="26"/>
      <c r="P19"/>
      <c r="Q19" s="18"/>
    </row>
    <row r="20" spans="2:17" s="27" customFormat="1" ht="18" customHeight="1" thickBot="1" thickTop="1">
      <c r="B20" s="273" t="str">
        <f>'3. Année de production  '!A54</f>
        <v>foin sur pied</v>
      </c>
      <c r="C20" s="271">
        <f>'3. Année de production  '!B54</f>
        <v>0</v>
      </c>
      <c r="D20" s="272">
        <f>'3. Année de production  '!C54</f>
        <v>0</v>
      </c>
      <c r="E20" s="238">
        <f>'3. Année de production  '!D54</f>
        <v>229.86193517665131</v>
      </c>
      <c r="F20" s="242">
        <f>'3. Année de production  '!E54</f>
        <v>76.62064505888378</v>
      </c>
      <c r="G20" s="239">
        <f>'3. Année de production  '!F54</f>
        <v>0.03831032252944189</v>
      </c>
      <c r="H20" s="164">
        <f>'3. Année de production  '!G54</f>
        <v>0</v>
      </c>
      <c r="I20" s="26"/>
      <c r="P20"/>
      <c r="Q20" s="18"/>
    </row>
    <row r="21" spans="2:17" s="27" customFormat="1" ht="18" customHeight="1" thickBot="1" thickTop="1">
      <c r="B21" s="269" t="s">
        <v>249</v>
      </c>
      <c r="C21" s="93"/>
      <c r="D21" s="93"/>
      <c r="E21" s="94"/>
      <c r="F21" s="240">
        <v>40</v>
      </c>
      <c r="G21" s="241" t="s">
        <v>97</v>
      </c>
      <c r="H21" s="169">
        <f>'3. Année de production  '!G55</f>
        <v>1.5324129011776755</v>
      </c>
      <c r="I21" s="26"/>
      <c r="P21" s="18"/>
      <c r="Q21" s="18"/>
    </row>
    <row r="22" ht="18" customHeight="1" thickBot="1">
      <c r="B22" s="29"/>
    </row>
    <row r="23" spans="2:8" ht="18" customHeight="1" thickBot="1">
      <c r="B23" s="277" t="s">
        <v>113</v>
      </c>
      <c r="C23" s="110">
        <v>0.06</v>
      </c>
      <c r="D23" s="275" t="s">
        <v>114</v>
      </c>
      <c r="E23" s="115" t="s">
        <v>115</v>
      </c>
      <c r="F23" s="103"/>
      <c r="G23" s="115" t="s">
        <v>116</v>
      </c>
      <c r="H23" s="104" t="s">
        <v>117</v>
      </c>
    </row>
    <row r="24" spans="2:8" ht="18" customHeight="1">
      <c r="B24" s="278"/>
      <c r="C24" s="279"/>
      <c r="D24" s="279"/>
      <c r="E24" s="279"/>
      <c r="F24" s="279"/>
      <c r="G24" s="280" t="s">
        <v>118</v>
      </c>
      <c r="H24" s="281" t="s">
        <v>118</v>
      </c>
    </row>
    <row r="25" spans="2:8" ht="18" customHeight="1" thickBot="1">
      <c r="B25" s="278"/>
      <c r="C25" s="279"/>
      <c r="D25" s="279"/>
      <c r="E25" s="282" t="s">
        <v>31</v>
      </c>
      <c r="F25" s="279"/>
      <c r="G25" s="279" t="s">
        <v>73</v>
      </c>
      <c r="H25" s="283" t="s">
        <v>114</v>
      </c>
    </row>
    <row r="26" spans="2:8" ht="18" customHeight="1" thickBot="1" thickTop="1">
      <c r="B26" s="205" t="s">
        <v>271</v>
      </c>
      <c r="C26" s="106"/>
      <c r="D26" s="106"/>
      <c r="E26" s="276">
        <f>C23*D6-E15</f>
        <v>-50.54526850998462</v>
      </c>
      <c r="F26" s="106"/>
      <c r="G26" s="111">
        <f>E15/C23</f>
        <v>6842.421141833077</v>
      </c>
      <c r="H26" s="113">
        <f>E15/D6</f>
        <v>0.06842421141833077</v>
      </c>
    </row>
    <row r="27" spans="2:8" ht="18" customHeight="1" thickTop="1">
      <c r="B27" s="105" t="s">
        <v>85</v>
      </c>
      <c r="C27" s="106"/>
      <c r="D27" s="106"/>
      <c r="E27" s="276">
        <f>C23*D6-E16</f>
        <v>-21.99318517665131</v>
      </c>
      <c r="F27" s="106"/>
      <c r="G27" s="111">
        <f>E16/C23</f>
        <v>6366.553086277522</v>
      </c>
      <c r="H27" s="113">
        <f>E16/D6</f>
        <v>0.06366553086277522</v>
      </c>
    </row>
    <row r="28" spans="2:8" ht="18" customHeight="1">
      <c r="B28" s="105" t="s">
        <v>86</v>
      </c>
      <c r="C28" s="106"/>
      <c r="D28" s="106"/>
      <c r="E28" s="276">
        <f>C23*D6-E17</f>
        <v>-8.594913900055587</v>
      </c>
      <c r="F28" s="106"/>
      <c r="G28" s="111">
        <f>E17/C23</f>
        <v>6143.248565000927</v>
      </c>
      <c r="H28" s="113">
        <f>E17/D6</f>
        <v>0.061432485650009264</v>
      </c>
    </row>
    <row r="29" spans="2:8" ht="18" customHeight="1">
      <c r="B29" s="284" t="s">
        <v>251</v>
      </c>
      <c r="C29" s="106" t="s">
        <v>252</v>
      </c>
      <c r="D29" s="106"/>
      <c r="E29" s="276">
        <f>C23*D6-E18</f>
        <v>-19.060420025136125</v>
      </c>
      <c r="F29" s="106"/>
      <c r="G29" s="111">
        <f>E18/C23</f>
        <v>6317.673667085603</v>
      </c>
      <c r="H29" s="113">
        <f>E18/D6</f>
        <v>0.06317673667085602</v>
      </c>
    </row>
    <row r="30" spans="2:9" ht="18" customHeight="1">
      <c r="B30" s="105" t="s">
        <v>272</v>
      </c>
      <c r="C30" s="106"/>
      <c r="D30" s="106"/>
      <c r="E30" s="276">
        <f>C23*D6-E19</f>
        <v>-18.92622089093709</v>
      </c>
      <c r="F30" s="106"/>
      <c r="G30" s="111">
        <f>E19/C23</f>
        <v>6315.437014848952</v>
      </c>
      <c r="H30" s="113">
        <f>E19/D6</f>
        <v>0.06315437014848951</v>
      </c>
      <c r="I30"/>
    </row>
    <row r="31" spans="2:17" s="17" customFormat="1" ht="18" customHeight="1" thickBot="1">
      <c r="B31" s="107"/>
      <c r="C31" s="108"/>
      <c r="D31" s="108"/>
      <c r="E31" s="109"/>
      <c r="F31" s="108"/>
      <c r="G31" s="112"/>
      <c r="H31" s="114"/>
      <c r="I31"/>
      <c r="P31"/>
      <c r="Q31" s="18"/>
    </row>
    <row r="32" spans="2:9" ht="18" customHeight="1">
      <c r="B32"/>
      <c r="C32"/>
      <c r="D32"/>
      <c r="E32"/>
      <c r="F32"/>
      <c r="G32"/>
      <c r="H32"/>
      <c r="I32"/>
    </row>
    <row r="33" spans="2:9" ht="18" customHeight="1">
      <c r="B33"/>
      <c r="C33"/>
      <c r="D33"/>
      <c r="E33"/>
      <c r="F33"/>
      <c r="G33"/>
      <c r="H33"/>
      <c r="I33"/>
    </row>
    <row r="34" spans="2:9" ht="18" customHeight="1">
      <c r="B34"/>
      <c r="C34"/>
      <c r="D34"/>
      <c r="E34"/>
      <c r="F34"/>
      <c r="G34"/>
      <c r="H34"/>
      <c r="I34"/>
    </row>
    <row r="35" spans="2:9" ht="18" customHeight="1">
      <c r="B35"/>
      <c r="C35"/>
      <c r="D35"/>
      <c r="E35"/>
      <c r="F35"/>
      <c r="G35"/>
      <c r="H35"/>
      <c r="I35"/>
    </row>
    <row r="36" spans="2:9" ht="18" customHeight="1">
      <c r="B36"/>
      <c r="C36"/>
      <c r="D36"/>
      <c r="E36"/>
      <c r="F36"/>
      <c r="G36"/>
      <c r="H36"/>
      <c r="I36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sheetProtection/>
  <printOptions/>
  <pageMargins left="0.75" right="0.75" top="1" bottom="1" header="0.5" footer="0.5"/>
  <pageSetup horizontalDpi="600" verticalDpi="600" orientation="landscape" scale="77" r:id="rId1"/>
  <headerFooter alignWithMargins="0">
    <oddHeader>&amp;C&amp;A</oddHeader>
    <oddFooter>&amp;L&amp;D&amp;C&amp;F&amp;R&amp;P/&amp;N</oddFooter>
  </headerFooter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35" customWidth="1"/>
    <col min="2" max="2" width="14.28125" style="35" customWidth="1"/>
    <col min="3" max="3" width="17.57421875" style="35" customWidth="1"/>
    <col min="4" max="4" width="9.140625" style="35" customWidth="1"/>
    <col min="5" max="5" width="12.140625" style="35" customWidth="1"/>
    <col min="6" max="6" width="9.140625" style="35" customWidth="1"/>
    <col min="7" max="7" width="15.00390625" style="35" customWidth="1"/>
    <col min="8" max="16384" width="9.140625" style="35" customWidth="1"/>
  </cols>
  <sheetData>
    <row r="1" spans="1:7" ht="18.75">
      <c r="A1" s="127" t="s">
        <v>253</v>
      </c>
      <c r="E1" s="34"/>
      <c r="F1" s="34"/>
      <c r="G1" s="34"/>
    </row>
    <row r="2" spans="1:7" ht="15">
      <c r="A2" s="285" t="s">
        <v>218</v>
      </c>
      <c r="C2" s="55"/>
      <c r="D2" s="55"/>
      <c r="E2" s="53" t="s">
        <v>26</v>
      </c>
      <c r="F2" s="55"/>
      <c r="G2" s="55"/>
    </row>
    <row r="3" spans="3:7" ht="12.75">
      <c r="C3" s="55"/>
      <c r="D3" s="60" t="s">
        <v>27</v>
      </c>
      <c r="E3" s="34"/>
      <c r="F3" s="60" t="s">
        <v>28</v>
      </c>
      <c r="G3" s="34"/>
    </row>
    <row r="4" spans="3:7" ht="12.75">
      <c r="C4" s="57" t="s">
        <v>29</v>
      </c>
      <c r="D4" s="57" t="s">
        <v>30</v>
      </c>
      <c r="E4" s="57" t="s">
        <v>31</v>
      </c>
      <c r="F4" s="57" t="s">
        <v>32</v>
      </c>
      <c r="G4" s="57" t="s">
        <v>31</v>
      </c>
    </row>
    <row r="5" spans="1:7" ht="12.75">
      <c r="A5" s="55" t="s">
        <v>254</v>
      </c>
      <c r="B5" s="35" t="s">
        <v>33</v>
      </c>
      <c r="C5" s="286">
        <f>33/40*1000/2205</f>
        <v>0.3741496598639456</v>
      </c>
      <c r="D5" s="5">
        <v>80</v>
      </c>
      <c r="E5" s="143">
        <f>C5*D5</f>
        <v>29.931972789115648</v>
      </c>
      <c r="F5" s="9">
        <v>0</v>
      </c>
      <c r="G5" s="145">
        <f>C5*F5</f>
        <v>0</v>
      </c>
    </row>
    <row r="6" spans="1:7" ht="12.75">
      <c r="A6" s="55"/>
      <c r="B6" s="35" t="s">
        <v>34</v>
      </c>
      <c r="C6" s="286">
        <f>248/25*1000/2205</f>
        <v>4.498866213151928</v>
      </c>
      <c r="D6" s="5">
        <v>10</v>
      </c>
      <c r="E6" s="143">
        <f>C6*D6</f>
        <v>44.98866213151928</v>
      </c>
      <c r="F6" s="9">
        <v>10</v>
      </c>
      <c r="G6" s="145">
        <f>C6*F6</f>
        <v>44.98866213151928</v>
      </c>
    </row>
    <row r="7" spans="1:8" ht="12.75">
      <c r="A7" s="55"/>
      <c r="B7" s="35" t="s">
        <v>35</v>
      </c>
      <c r="C7" s="286">
        <v>3.75</v>
      </c>
      <c r="D7" s="5">
        <v>4</v>
      </c>
      <c r="E7" s="143">
        <f aca="true" t="shared" si="0" ref="E7:E22">C7*D7</f>
        <v>15</v>
      </c>
      <c r="F7" s="9">
        <v>4</v>
      </c>
      <c r="G7" s="145">
        <f aca="true" t="shared" si="1" ref="G7:G25">C7*F7</f>
        <v>15</v>
      </c>
      <c r="H7" s="54"/>
    </row>
    <row r="8" spans="1:8" ht="12.75">
      <c r="A8" s="55" t="s">
        <v>36</v>
      </c>
      <c r="B8" s="130" t="s">
        <v>37</v>
      </c>
      <c r="C8" s="286">
        <f>496/2205</f>
        <v>0.22494331065759637</v>
      </c>
      <c r="D8" s="5">
        <v>120</v>
      </c>
      <c r="E8" s="143">
        <f t="shared" si="0"/>
        <v>26.993197278911566</v>
      </c>
      <c r="F8" s="9">
        <v>0</v>
      </c>
      <c r="G8" s="145">
        <f t="shared" si="1"/>
        <v>0</v>
      </c>
      <c r="H8" s="54"/>
    </row>
    <row r="9" spans="1:7" ht="12.75">
      <c r="A9" s="55"/>
      <c r="B9" s="35" t="s">
        <v>38</v>
      </c>
      <c r="C9" s="286">
        <f>477/2205</f>
        <v>0.2163265306122449</v>
      </c>
      <c r="D9" s="5">
        <v>0</v>
      </c>
      <c r="E9" s="143">
        <f>C9*D9</f>
        <v>0</v>
      </c>
      <c r="F9" s="9">
        <v>115</v>
      </c>
      <c r="G9" s="145">
        <f t="shared" si="1"/>
        <v>24.877551020408166</v>
      </c>
    </row>
    <row r="10" spans="1:7" ht="12.75">
      <c r="A10" s="55"/>
      <c r="B10" s="35" t="s">
        <v>39</v>
      </c>
      <c r="C10" s="286">
        <f>400/2205</f>
        <v>0.18140589569160998</v>
      </c>
      <c r="D10" s="5">
        <v>100</v>
      </c>
      <c r="E10" s="143">
        <f t="shared" si="0"/>
        <v>18.140589569160998</v>
      </c>
      <c r="F10" s="9">
        <v>100</v>
      </c>
      <c r="G10" s="145">
        <f t="shared" si="1"/>
        <v>18.140589569160998</v>
      </c>
    </row>
    <row r="11" spans="1:7" ht="12.75">
      <c r="A11" s="55" t="s">
        <v>40</v>
      </c>
      <c r="B11" s="35" t="s">
        <v>41</v>
      </c>
      <c r="C11" s="286">
        <v>10</v>
      </c>
      <c r="D11" s="5">
        <v>2</v>
      </c>
      <c r="E11" s="143">
        <f t="shared" si="0"/>
        <v>20</v>
      </c>
      <c r="F11" s="9">
        <v>2</v>
      </c>
      <c r="G11" s="145">
        <f t="shared" si="1"/>
        <v>20</v>
      </c>
    </row>
    <row r="12" spans="1:7" ht="12.75">
      <c r="A12" s="55"/>
      <c r="B12" s="35" t="s">
        <v>42</v>
      </c>
      <c r="C12" s="286">
        <v>26</v>
      </c>
      <c r="D12" s="5">
        <v>0.6</v>
      </c>
      <c r="E12" s="143">
        <f t="shared" si="0"/>
        <v>15.6</v>
      </c>
      <c r="F12" s="9">
        <v>0.6</v>
      </c>
      <c r="G12" s="145">
        <f t="shared" si="1"/>
        <v>15.6</v>
      </c>
    </row>
    <row r="13" spans="1:8" ht="12.75">
      <c r="A13" s="55" t="s">
        <v>43</v>
      </c>
      <c r="B13" s="129">
        <f>IF(D13="n",0,1)</f>
        <v>1</v>
      </c>
      <c r="C13" s="286">
        <v>2.1</v>
      </c>
      <c r="D13" s="128" t="s">
        <v>44</v>
      </c>
      <c r="E13" s="291">
        <f>C13*B13</f>
        <v>2.1</v>
      </c>
      <c r="F13" s="292" t="s">
        <v>44</v>
      </c>
      <c r="G13" s="293">
        <f>H13</f>
        <v>11.35</v>
      </c>
      <c r="H13" s="132">
        <v>11.35</v>
      </c>
    </row>
    <row r="14" spans="1:7" ht="12.75">
      <c r="A14" s="55" t="s">
        <v>255</v>
      </c>
      <c r="C14" s="141">
        <v>19</v>
      </c>
      <c r="D14" s="35">
        <v>1</v>
      </c>
      <c r="E14" s="287">
        <f>C14*D14</f>
        <v>19</v>
      </c>
      <c r="F14" s="55">
        <v>1</v>
      </c>
      <c r="G14" s="145">
        <f t="shared" si="1"/>
        <v>19</v>
      </c>
    </row>
    <row r="15" spans="1:7" ht="12.75">
      <c r="A15" s="55" t="s">
        <v>45</v>
      </c>
      <c r="C15" s="141">
        <v>12</v>
      </c>
      <c r="D15" s="35">
        <v>1</v>
      </c>
      <c r="E15" s="287">
        <f>C15*D15</f>
        <v>12</v>
      </c>
      <c r="F15" s="55">
        <v>1</v>
      </c>
      <c r="G15" s="145">
        <f>C15*F15</f>
        <v>12</v>
      </c>
    </row>
    <row r="16" spans="1:7" ht="12.75">
      <c r="A16" s="55" t="s">
        <v>46</v>
      </c>
      <c r="C16" s="141">
        <v>10</v>
      </c>
      <c r="D16" s="35">
        <v>1</v>
      </c>
      <c r="E16" s="287">
        <f>C16*D16</f>
        <v>10</v>
      </c>
      <c r="F16" s="55">
        <v>1</v>
      </c>
      <c r="G16" s="145">
        <f>C16*F16</f>
        <v>10</v>
      </c>
    </row>
    <row r="17" spans="1:7" ht="12.75">
      <c r="A17" s="55" t="s">
        <v>256</v>
      </c>
      <c r="B17" s="125"/>
      <c r="C17" s="141">
        <v>5</v>
      </c>
      <c r="D17" s="35">
        <v>1</v>
      </c>
      <c r="E17" s="287">
        <f>C17*D17</f>
        <v>5</v>
      </c>
      <c r="F17" s="55">
        <v>1</v>
      </c>
      <c r="G17" s="145">
        <f>C17*F17</f>
        <v>5</v>
      </c>
    </row>
    <row r="18" spans="1:8" ht="12.75">
      <c r="A18" s="55" t="s">
        <v>47</v>
      </c>
      <c r="C18" s="141">
        <v>7</v>
      </c>
      <c r="D18" s="35">
        <v>1</v>
      </c>
      <c r="E18" s="287">
        <f>C18*D18</f>
        <v>7</v>
      </c>
      <c r="F18" s="55">
        <v>1</v>
      </c>
      <c r="G18" s="145">
        <f>C18*F18</f>
        <v>7</v>
      </c>
      <c r="H18" s="136"/>
    </row>
    <row r="19" spans="1:8" ht="12.75">
      <c r="A19" s="55" t="s">
        <v>48</v>
      </c>
      <c r="C19" s="141">
        <v>0</v>
      </c>
      <c r="D19" s="35">
        <v>1</v>
      </c>
      <c r="E19" s="144">
        <f t="shared" si="0"/>
        <v>0</v>
      </c>
      <c r="F19" s="55">
        <v>1</v>
      </c>
      <c r="G19" s="145">
        <f t="shared" si="1"/>
        <v>0</v>
      </c>
      <c r="H19" s="125"/>
    </row>
    <row r="20" spans="1:7" ht="12.75">
      <c r="A20" s="55" t="s">
        <v>49</v>
      </c>
      <c r="C20" s="141">
        <v>15</v>
      </c>
      <c r="D20" s="35">
        <v>1</v>
      </c>
      <c r="E20" s="287">
        <f t="shared" si="0"/>
        <v>15</v>
      </c>
      <c r="F20" s="55">
        <v>1</v>
      </c>
      <c r="G20" s="145">
        <f t="shared" si="1"/>
        <v>15</v>
      </c>
    </row>
    <row r="21" spans="1:7" ht="12.75">
      <c r="A21" s="55" t="s">
        <v>50</v>
      </c>
      <c r="C21" s="141">
        <v>7</v>
      </c>
      <c r="D21" s="35">
        <v>2</v>
      </c>
      <c r="E21" s="287">
        <f t="shared" si="0"/>
        <v>14</v>
      </c>
      <c r="F21" s="55">
        <v>2</v>
      </c>
      <c r="G21" s="145">
        <f t="shared" si="1"/>
        <v>14</v>
      </c>
    </row>
    <row r="22" spans="1:7" ht="12.75">
      <c r="A22" s="55" t="s">
        <v>51</v>
      </c>
      <c r="C22" s="141">
        <v>7</v>
      </c>
      <c r="D22" s="35">
        <v>1</v>
      </c>
      <c r="E22" s="287">
        <f t="shared" si="0"/>
        <v>7</v>
      </c>
      <c r="F22" s="55">
        <v>1</v>
      </c>
      <c r="G22" s="145">
        <f t="shared" si="1"/>
        <v>7</v>
      </c>
    </row>
    <row r="23" spans="1:7" ht="12.75">
      <c r="A23" s="55" t="s">
        <v>257</v>
      </c>
      <c r="C23" s="141">
        <v>32</v>
      </c>
      <c r="D23" s="35">
        <v>1</v>
      </c>
      <c r="E23" s="287">
        <f>C23*D23</f>
        <v>32</v>
      </c>
      <c r="F23" s="55">
        <v>0</v>
      </c>
      <c r="G23" s="145">
        <f t="shared" si="1"/>
        <v>0</v>
      </c>
    </row>
    <row r="24" spans="1:7" ht="12.75">
      <c r="A24" s="55" t="s">
        <v>259</v>
      </c>
      <c r="C24" s="141">
        <v>14</v>
      </c>
      <c r="D24" s="39">
        <v>0</v>
      </c>
      <c r="E24" s="287">
        <f>C24*D24</f>
        <v>0</v>
      </c>
      <c r="F24" s="9">
        <v>1</v>
      </c>
      <c r="G24" s="145">
        <f>C24*F24</f>
        <v>14</v>
      </c>
    </row>
    <row r="25" spans="1:7" ht="12.75">
      <c r="A25" s="55" t="s">
        <v>258</v>
      </c>
      <c r="C25" s="141">
        <v>6</v>
      </c>
      <c r="D25" s="39">
        <v>0</v>
      </c>
      <c r="E25" s="287">
        <f>C25*D25</f>
        <v>0</v>
      </c>
      <c r="F25" s="9">
        <v>1</v>
      </c>
      <c r="G25" s="145">
        <f t="shared" si="1"/>
        <v>6</v>
      </c>
    </row>
    <row r="26" spans="1:7" ht="12.75">
      <c r="A26" s="81" t="s">
        <v>263</v>
      </c>
      <c r="B26" s="140" t="s">
        <v>260</v>
      </c>
      <c r="C26" s="141">
        <v>0.52</v>
      </c>
      <c r="D26" s="5">
        <f>D35*2000/40</f>
        <v>35</v>
      </c>
      <c r="E26" s="287">
        <f>C26*D26</f>
        <v>18.2</v>
      </c>
      <c r="F26" s="131">
        <f>F36*2000/'1. coût de production '!D2</f>
        <v>66.66666666666667</v>
      </c>
      <c r="G26" s="145">
        <f aca="true" t="shared" si="2" ref="G26:G36">C26*F26</f>
        <v>34.66666666666667</v>
      </c>
    </row>
    <row r="27" spans="1:7" ht="12.75">
      <c r="A27" s="57" t="s">
        <v>264</v>
      </c>
      <c r="B27" s="35" t="s">
        <v>55</v>
      </c>
      <c r="C27" s="141">
        <v>6</v>
      </c>
      <c r="D27" s="5">
        <v>0</v>
      </c>
      <c r="E27" s="287">
        <f>C27*D27</f>
        <v>0</v>
      </c>
      <c r="F27" s="9">
        <v>0</v>
      </c>
      <c r="G27" s="145">
        <f t="shared" si="2"/>
        <v>0</v>
      </c>
    </row>
    <row r="28" spans="1:7" ht="12.75">
      <c r="A28" s="55"/>
      <c r="B28" s="140" t="s">
        <v>56</v>
      </c>
      <c r="C28" s="141">
        <v>0</v>
      </c>
      <c r="D28" s="13"/>
      <c r="E28" s="287"/>
      <c r="F28" s="9">
        <v>0</v>
      </c>
      <c r="G28" s="145">
        <f>IF(F28&gt;0,C28*F28-G25,0)</f>
        <v>0</v>
      </c>
    </row>
    <row r="29" spans="1:7" ht="12.75">
      <c r="A29" s="55" t="s">
        <v>261</v>
      </c>
      <c r="C29" s="141">
        <f>'3. Année de production  '!B26</f>
        <v>0.13</v>
      </c>
      <c r="D29" s="67"/>
      <c r="E29" s="287">
        <f>D26*C29</f>
        <v>4.55</v>
      </c>
      <c r="F29" s="55">
        <f>'3. Année de production  '!B26</f>
        <v>0.13</v>
      </c>
      <c r="G29" s="145">
        <f>F29*F26</f>
        <v>8.666666666666668</v>
      </c>
    </row>
    <row r="30" spans="1:7" ht="12.75">
      <c r="A30" s="55" t="s">
        <v>262</v>
      </c>
      <c r="C30" s="141">
        <f>'3. Année de production  '!B32</f>
        <v>0.22</v>
      </c>
      <c r="D30" s="67"/>
      <c r="E30" s="287">
        <f>D26*C30</f>
        <v>7.7</v>
      </c>
      <c r="F30" s="55">
        <f>'3. Année de production  '!B32</f>
        <v>0.22</v>
      </c>
      <c r="G30" s="145">
        <f>F30*F26</f>
        <v>14.666666666666668</v>
      </c>
    </row>
    <row r="31" spans="1:7" ht="12.75">
      <c r="A31" s="81" t="s">
        <v>52</v>
      </c>
      <c r="C31" s="142">
        <f>'1. coût de production '!H5</f>
        <v>100</v>
      </c>
      <c r="D31" s="35">
        <v>1</v>
      </c>
      <c r="E31" s="287">
        <f>C31*D31</f>
        <v>100</v>
      </c>
      <c r="F31" s="55">
        <v>1</v>
      </c>
      <c r="G31" s="145">
        <f>C31*F31</f>
        <v>100</v>
      </c>
    </row>
    <row r="32" spans="1:7" ht="12.75">
      <c r="A32" s="55" t="s">
        <v>57</v>
      </c>
      <c r="C32" s="7"/>
      <c r="E32" s="287">
        <f>SUM(E5:E31)</f>
        <v>424.2044217687075</v>
      </c>
      <c r="F32" s="55"/>
      <c r="G32" s="145">
        <f>SUM(G5:G31)</f>
        <v>416.9568027210885</v>
      </c>
    </row>
    <row r="33" spans="1:7" ht="12.75">
      <c r="A33" s="55" t="s">
        <v>58</v>
      </c>
      <c r="C33" s="8" t="s">
        <v>59</v>
      </c>
      <c r="F33" s="55"/>
      <c r="G33" s="145"/>
    </row>
    <row r="34" spans="1:7" ht="12.75">
      <c r="A34" s="55"/>
      <c r="B34" s="140" t="s">
        <v>60</v>
      </c>
      <c r="C34" s="290">
        <v>140</v>
      </c>
      <c r="D34" s="10">
        <v>1.15</v>
      </c>
      <c r="E34" s="287">
        <f>C34*D34</f>
        <v>161</v>
      </c>
      <c r="F34" s="55"/>
      <c r="G34" s="145">
        <f t="shared" si="2"/>
        <v>0</v>
      </c>
    </row>
    <row r="35" spans="1:7" ht="12.75">
      <c r="A35" s="55"/>
      <c r="B35" s="140" t="s">
        <v>61</v>
      </c>
      <c r="C35" s="290">
        <v>65</v>
      </c>
      <c r="D35" s="10">
        <v>0.7</v>
      </c>
      <c r="E35" s="287">
        <f>C35*D35</f>
        <v>45.5</v>
      </c>
      <c r="F35" s="55"/>
      <c r="G35" s="145">
        <f t="shared" si="2"/>
        <v>0</v>
      </c>
    </row>
    <row r="36" spans="1:7" ht="12.75">
      <c r="A36" s="55"/>
      <c r="B36" s="140" t="s">
        <v>62</v>
      </c>
      <c r="C36" s="290">
        <v>90</v>
      </c>
      <c r="E36" s="287">
        <f>C36*D36</f>
        <v>0</v>
      </c>
      <c r="F36" s="40">
        <v>1.5</v>
      </c>
      <c r="G36" s="145">
        <f t="shared" si="2"/>
        <v>135</v>
      </c>
    </row>
    <row r="37" spans="1:7" ht="12.75">
      <c r="A37" s="55" t="s">
        <v>63</v>
      </c>
      <c r="E37" s="287">
        <f>E32-E34-E35-E36</f>
        <v>217.7044217687075</v>
      </c>
      <c r="F37" s="55"/>
      <c r="G37" s="145">
        <f>SUM(G32-G34-G35-G36)</f>
        <v>281.9568027210885</v>
      </c>
    </row>
    <row r="38" spans="1:7" ht="12.75">
      <c r="A38" s="55" t="s">
        <v>64</v>
      </c>
      <c r="C38" s="69">
        <v>0.04</v>
      </c>
      <c r="E38" s="289">
        <f>E37*C38</f>
        <v>8.7081768707483</v>
      </c>
      <c r="F38" s="55"/>
      <c r="G38" s="145">
        <f>G37*C38</f>
        <v>11.27827210884354</v>
      </c>
    </row>
    <row r="39" spans="1:7" ht="12.75">
      <c r="A39" s="55" t="s">
        <v>65</v>
      </c>
      <c r="E39" s="287">
        <f>E37+E38</f>
        <v>226.4125986394558</v>
      </c>
      <c r="F39" s="55"/>
      <c r="G39" s="145">
        <f>SUM(G37:G38)</f>
        <v>293.23507482993205</v>
      </c>
    </row>
    <row r="40" spans="1:7" ht="12.75">
      <c r="A40" s="81" t="s">
        <v>66</v>
      </c>
      <c r="B40" s="5">
        <v>4</v>
      </c>
      <c r="C40" s="66" t="s">
        <v>67</v>
      </c>
      <c r="E40" s="287">
        <v>56.623949659863946</v>
      </c>
      <c r="F40" s="55"/>
      <c r="G40" s="145">
        <f>G39/B40</f>
        <v>73.30876870748301</v>
      </c>
    </row>
    <row r="41" ht="15.75">
      <c r="E41" s="288"/>
    </row>
    <row r="42" spans="1:3" ht="12.75">
      <c r="A42" s="70"/>
      <c r="B42" s="70"/>
      <c r="C42" s="70"/>
    </row>
  </sheetData>
  <sheetProtection/>
  <printOptions/>
  <pageMargins left="0.75" right="0.75" top="1" bottom="1" header="0.5" footer="0.5"/>
  <pageSetup horizontalDpi="600" verticalDpi="600" orientation="portrait" scale="88" r:id="rId1"/>
  <headerFooter alignWithMargins="0">
    <oddHeader>&amp;C&amp;A</oddHeader>
    <oddFooter>&amp;L&amp;D&amp;C&amp;F&amp;R&amp;P/&amp;N</oddFooter>
  </headerFooter>
  <ignoredErrors>
    <ignoredError sqref="E13 G13" formula="1"/>
    <ignoredError sqref="C29:C30 C5:C1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57421875" style="35" customWidth="1"/>
    <col min="2" max="2" width="17.00390625" style="35" customWidth="1"/>
    <col min="3" max="3" width="13.57421875" style="35" customWidth="1"/>
    <col min="4" max="4" width="22.8515625" style="35" customWidth="1"/>
    <col min="5" max="5" width="18.7109375" style="35" customWidth="1"/>
    <col min="6" max="6" width="14.421875" style="35" customWidth="1"/>
    <col min="7" max="7" width="9.28125" style="35" bestFit="1" customWidth="1"/>
    <col min="8" max="8" width="13.7109375" style="35" customWidth="1"/>
    <col min="9" max="9" width="13.140625" style="35" customWidth="1"/>
    <col min="10" max="16384" width="9.140625" style="35" customWidth="1"/>
  </cols>
  <sheetData>
    <row r="1" spans="1:7" ht="18">
      <c r="A1" s="294" t="s">
        <v>218</v>
      </c>
      <c r="B1" s="138" t="s">
        <v>68</v>
      </c>
      <c r="C1" s="138"/>
      <c r="D1" s="138"/>
      <c r="E1" s="138"/>
      <c r="F1" s="55"/>
      <c r="G1" s="56"/>
    </row>
    <row r="2" spans="2:6" ht="12.75">
      <c r="B2" s="57" t="s">
        <v>69</v>
      </c>
      <c r="C2" s="57" t="s">
        <v>70</v>
      </c>
      <c r="E2" s="57" t="s">
        <v>71</v>
      </c>
      <c r="F2" s="57" t="s">
        <v>31</v>
      </c>
    </row>
    <row r="3" spans="1:4" ht="12.75">
      <c r="A3" s="55" t="s">
        <v>72</v>
      </c>
      <c r="B3" s="58"/>
      <c r="C3" s="295">
        <f>'1. coût de production '!D6</f>
        <v>6000</v>
      </c>
      <c r="D3" s="34" t="s">
        <v>73</v>
      </c>
    </row>
    <row r="4" spans="1:6" ht="12.75">
      <c r="A4" s="81" t="s">
        <v>266</v>
      </c>
      <c r="B4" s="146">
        <v>0</v>
      </c>
      <c r="C4" s="9">
        <v>0</v>
      </c>
      <c r="D4" s="34" t="s">
        <v>73</v>
      </c>
      <c r="F4" s="149">
        <f>B4*C4</f>
        <v>0</v>
      </c>
    </row>
    <row r="5" spans="1:6" ht="12.75">
      <c r="A5" s="80" t="s">
        <v>265</v>
      </c>
      <c r="B5" s="146">
        <f>529/2205</f>
        <v>0.2399092970521542</v>
      </c>
      <c r="C5" s="131">
        <f>15*C3/2000*100/46*87/100</f>
        <v>85.1086956521739</v>
      </c>
      <c r="D5" s="34" t="s">
        <v>73</v>
      </c>
      <c r="F5" s="149">
        <f>B5*C5</f>
        <v>20.418367346938773</v>
      </c>
    </row>
    <row r="6" spans="1:6" ht="12.75">
      <c r="A6" s="65" t="s">
        <v>39</v>
      </c>
      <c r="B6" s="141">
        <f>400/2205</f>
        <v>0.18140589569160998</v>
      </c>
      <c r="C6" s="131">
        <f>60*C3/2000*100/62*87/100</f>
        <v>252.5806451612903</v>
      </c>
      <c r="D6" s="34" t="s">
        <v>73</v>
      </c>
      <c r="F6" s="149">
        <f>B6*C6</f>
        <v>45.81961816984858</v>
      </c>
    </row>
    <row r="7" spans="1:6" ht="12.75">
      <c r="A7" s="55" t="s">
        <v>51</v>
      </c>
      <c r="B7" s="142">
        <f>'2. Année d''ensemencement'!C22</f>
        <v>7</v>
      </c>
      <c r="C7" s="11" t="s">
        <v>74</v>
      </c>
      <c r="D7" s="62">
        <f>IF(C7="n",0,1)</f>
        <v>1</v>
      </c>
      <c r="F7" s="150">
        <f>B7*D7</f>
        <v>7</v>
      </c>
    </row>
    <row r="8" spans="1:6" ht="12.75">
      <c r="A8" s="55" t="s">
        <v>43</v>
      </c>
      <c r="B8" s="142">
        <f>'2. Année d''ensemencement'!G13</f>
        <v>11.35</v>
      </c>
      <c r="C8" s="11" t="s">
        <v>74</v>
      </c>
      <c r="D8" s="62">
        <f>IF(C8="n",0,1)</f>
        <v>1</v>
      </c>
      <c r="F8" s="149">
        <f>B8*D8</f>
        <v>11.35</v>
      </c>
    </row>
    <row r="9" spans="1:6" ht="12.75">
      <c r="A9" s="81" t="s">
        <v>75</v>
      </c>
      <c r="B9" s="142">
        <f>'2. Année d''ensemencement'!C31</f>
        <v>100</v>
      </c>
      <c r="C9" s="12">
        <v>1</v>
      </c>
      <c r="D9" s="62"/>
      <c r="F9" s="149">
        <f>B9*C9</f>
        <v>100</v>
      </c>
    </row>
    <row r="10" spans="1:7" ht="12.75">
      <c r="A10" s="81" t="s">
        <v>76</v>
      </c>
      <c r="B10" s="147">
        <f>'2. Année d''ensemencement'!E40</f>
        <v>56.623949659863946</v>
      </c>
      <c r="C10" s="11" t="s">
        <v>74</v>
      </c>
      <c r="D10" s="62">
        <f>IF(C10="n",0,1)</f>
        <v>1</v>
      </c>
      <c r="F10" s="151">
        <f>B10*D10</f>
        <v>56.623949659863946</v>
      </c>
      <c r="G10" s="63"/>
    </row>
    <row r="11" spans="1:6" ht="12.75">
      <c r="A11" s="100" t="s">
        <v>267</v>
      </c>
      <c r="B11" s="142">
        <f>'2. Année d''ensemencement'!C24</f>
        <v>14</v>
      </c>
      <c r="C11" s="11" t="s">
        <v>74</v>
      </c>
      <c r="D11" s="62">
        <f>IF(C11="n",0,1)</f>
        <v>1</v>
      </c>
      <c r="E11" s="35">
        <f>'1. coût de production '!H6</f>
        <v>2</v>
      </c>
      <c r="F11" s="149">
        <f>B11*E11*D11</f>
        <v>28</v>
      </c>
    </row>
    <row r="12" spans="1:6" ht="12.75">
      <c r="A12" s="81" t="s">
        <v>53</v>
      </c>
      <c r="B12" s="142">
        <f>'2. Année d''ensemencement'!C25</f>
        <v>6</v>
      </c>
      <c r="C12" s="11" t="s">
        <v>74</v>
      </c>
      <c r="D12" s="62">
        <f>IF(C12="n",0,1)</f>
        <v>1</v>
      </c>
      <c r="E12" s="35">
        <f>'1. coût de production '!H6</f>
        <v>2</v>
      </c>
      <c r="F12" s="149">
        <f>B12*E12*D12</f>
        <v>12</v>
      </c>
    </row>
    <row r="13" spans="1:6" ht="12.75">
      <c r="A13" s="38" t="s">
        <v>77</v>
      </c>
      <c r="B13" s="146">
        <v>0</v>
      </c>
      <c r="C13" s="12">
        <f>C3/2000</f>
        <v>3</v>
      </c>
      <c r="D13" s="121" t="s">
        <v>78</v>
      </c>
      <c r="F13" s="149">
        <f>B13*C13</f>
        <v>0</v>
      </c>
    </row>
    <row r="14" spans="1:6" ht="12.75">
      <c r="A14" s="38" t="s">
        <v>79</v>
      </c>
      <c r="B14" s="148">
        <v>0.009</v>
      </c>
      <c r="C14" s="11">
        <v>0</v>
      </c>
      <c r="D14" s="62"/>
      <c r="F14" s="149">
        <v>0</v>
      </c>
    </row>
    <row r="15" spans="1:6" ht="12.75">
      <c r="A15" s="100"/>
      <c r="F15" s="149"/>
    </row>
    <row r="16" spans="1:6" ht="12.75">
      <c r="A16" s="81" t="s">
        <v>80</v>
      </c>
      <c r="B16" s="55"/>
      <c r="F16" s="149">
        <f>SUM(F4:F15)</f>
        <v>281.2119351766513</v>
      </c>
    </row>
    <row r="17" spans="1:6" ht="12.75">
      <c r="A17" s="55"/>
      <c r="B17" s="55"/>
      <c r="F17" s="59"/>
    </row>
    <row r="18" spans="1:6" ht="15.75">
      <c r="A18" s="95" t="s">
        <v>81</v>
      </c>
      <c r="B18" s="57" t="s">
        <v>69</v>
      </c>
      <c r="C18" s="80" t="s">
        <v>82</v>
      </c>
      <c r="D18" s="81" t="s">
        <v>83</v>
      </c>
      <c r="E18" s="57" t="s">
        <v>84</v>
      </c>
      <c r="F18" s="64" t="s">
        <v>31</v>
      </c>
    </row>
    <row r="19" spans="1:6" ht="12.75">
      <c r="A19" s="60" t="s">
        <v>269</v>
      </c>
      <c r="B19" s="156">
        <v>0.52</v>
      </c>
      <c r="C19" s="37">
        <f>C3/D19</f>
        <v>133.33333333333334</v>
      </c>
      <c r="D19" s="35">
        <f>'1. coût de production '!D2</f>
        <v>45</v>
      </c>
      <c r="E19" s="10">
        <f>16/12*14/12*3</f>
        <v>4.666666666666666</v>
      </c>
      <c r="F19" s="149">
        <f>B19*C19</f>
        <v>69.33333333333334</v>
      </c>
    </row>
    <row r="20" spans="1:6" ht="12.75">
      <c r="A20" s="60" t="s">
        <v>85</v>
      </c>
      <c r="B20" s="141">
        <v>6</v>
      </c>
      <c r="C20" s="36">
        <f>C3/D20</f>
        <v>9.375</v>
      </c>
      <c r="D20" s="35">
        <f>'1. coût de production '!D3</f>
        <v>640</v>
      </c>
      <c r="E20" s="5">
        <v>50</v>
      </c>
      <c r="F20" s="149">
        <f>B20*C20</f>
        <v>56.25</v>
      </c>
    </row>
    <row r="21" spans="1:6" ht="12.75">
      <c r="A21" s="60" t="s">
        <v>86</v>
      </c>
      <c r="B21" s="141">
        <v>7</v>
      </c>
      <c r="C21" s="36">
        <f>C3/D21</f>
        <v>6.382978723404255</v>
      </c>
      <c r="D21" s="35">
        <f>'1. coût de production '!D4</f>
        <v>940</v>
      </c>
      <c r="E21" s="5">
        <v>78</v>
      </c>
      <c r="F21" s="149">
        <f>B21*C21</f>
        <v>44.680851063829785</v>
      </c>
    </row>
    <row r="22" spans="1:6" ht="12.75">
      <c r="A22" s="60" t="s">
        <v>87</v>
      </c>
      <c r="B22" s="141">
        <v>7</v>
      </c>
      <c r="C22" s="36">
        <f>C3/D22</f>
        <v>8.787878787878787</v>
      </c>
      <c r="D22" s="37">
        <f>'1. coût de production '!H3*'1. coût de production '!H4/0.87</f>
        <v>682.7586206896552</v>
      </c>
      <c r="E22" s="55"/>
      <c r="F22" s="149">
        <f>C22*B22</f>
        <v>61.51515151515151</v>
      </c>
    </row>
    <row r="23" spans="1:6" ht="12.75">
      <c r="A23" s="135" t="s">
        <v>88</v>
      </c>
      <c r="B23" s="154">
        <v>0</v>
      </c>
      <c r="C23" s="35">
        <f>E11</f>
        <v>2</v>
      </c>
      <c r="F23" s="152">
        <f>B23*C23</f>
        <v>0</v>
      </c>
    </row>
    <row r="24" spans="1:6" ht="12.75">
      <c r="A24" s="60" t="s">
        <v>268</v>
      </c>
      <c r="B24" s="141">
        <v>7</v>
      </c>
      <c r="C24" s="36">
        <f>C3/D24</f>
        <v>8.16326530612245</v>
      </c>
      <c r="D24" s="35">
        <f>'1. coût de production '!D5</f>
        <v>735</v>
      </c>
      <c r="E24" s="5">
        <f>3*3*6</f>
        <v>54</v>
      </c>
      <c r="F24" s="149">
        <f>B24*C24</f>
        <v>57.142857142857146</v>
      </c>
    </row>
    <row r="25" spans="1:6" ht="15.75">
      <c r="A25" s="95" t="s">
        <v>90</v>
      </c>
      <c r="B25" s="6"/>
      <c r="F25" s="59"/>
    </row>
    <row r="26" spans="1:6" ht="12.75">
      <c r="A26" s="60" t="s">
        <v>269</v>
      </c>
      <c r="B26" s="141">
        <v>0.13</v>
      </c>
      <c r="C26" s="37">
        <f>C3/D19</f>
        <v>133.33333333333334</v>
      </c>
      <c r="D26" s="35">
        <f>'1. coût de production '!D2</f>
        <v>45</v>
      </c>
      <c r="F26" s="153">
        <f>C26*B26</f>
        <v>17.333333333333336</v>
      </c>
    </row>
    <row r="27" spans="1:6" ht="12.75">
      <c r="A27" s="60" t="s">
        <v>85</v>
      </c>
      <c r="B27" s="141">
        <v>1.6</v>
      </c>
      <c r="C27" s="36">
        <f>C20</f>
        <v>9.375</v>
      </c>
      <c r="D27" s="35">
        <f>'1. coût de production '!D3</f>
        <v>640</v>
      </c>
      <c r="F27" s="153">
        <f>C27*B27</f>
        <v>15</v>
      </c>
    </row>
    <row r="28" spans="1:6" ht="12.75">
      <c r="A28" s="60" t="s">
        <v>86</v>
      </c>
      <c r="B28" s="141">
        <v>2.19</v>
      </c>
      <c r="C28" s="36">
        <f>C3/D21</f>
        <v>6.382978723404255</v>
      </c>
      <c r="D28" s="35">
        <f>'1. coût de production '!D4</f>
        <v>940</v>
      </c>
      <c r="F28" s="153">
        <f>C28*B28</f>
        <v>13.978723404255318</v>
      </c>
    </row>
    <row r="29" spans="1:6" ht="12.75">
      <c r="A29" s="81" t="s">
        <v>91</v>
      </c>
      <c r="B29" s="157">
        <v>2</v>
      </c>
      <c r="C29" s="36">
        <f>C22</f>
        <v>8.787878787878787</v>
      </c>
      <c r="D29" s="37">
        <f>D22</f>
        <v>682.7586206896552</v>
      </c>
      <c r="F29" s="153">
        <f>B29*C29</f>
        <v>17.575757575757574</v>
      </c>
    </row>
    <row r="30" spans="1:6" ht="12.75">
      <c r="A30" s="60" t="s">
        <v>268</v>
      </c>
      <c r="B30" s="141">
        <v>1.37</v>
      </c>
      <c r="C30" s="36">
        <f>C3/D24</f>
        <v>8.16326530612245</v>
      </c>
      <c r="D30" s="35">
        <f>'1. coût de production '!D5</f>
        <v>735</v>
      </c>
      <c r="F30" s="153">
        <f>C30*B30</f>
        <v>11.183673469387756</v>
      </c>
    </row>
    <row r="31" spans="1:6" ht="15.75">
      <c r="A31" s="95" t="s">
        <v>92</v>
      </c>
      <c r="B31" s="6"/>
      <c r="E31" s="57" t="s">
        <v>93</v>
      </c>
      <c r="F31" s="61"/>
    </row>
    <row r="32" spans="1:6" ht="12.75">
      <c r="A32" s="60" t="s">
        <v>269</v>
      </c>
      <c r="B32" s="141">
        <v>0.22</v>
      </c>
      <c r="C32" s="37">
        <f>C3/D19</f>
        <v>133.33333333333334</v>
      </c>
      <c r="D32" s="35">
        <f>'1. coût de production '!D2</f>
        <v>45</v>
      </c>
      <c r="E32" s="67">
        <f>D32/E19</f>
        <v>9.642857142857144</v>
      </c>
      <c r="F32" s="297">
        <f aca="true" t="shared" si="0" ref="F32:F38">C32*B32</f>
        <v>29.333333333333336</v>
      </c>
    </row>
    <row r="33" spans="1:6" ht="12.75">
      <c r="A33" s="60" t="s">
        <v>85</v>
      </c>
      <c r="B33" s="141">
        <v>3.15</v>
      </c>
      <c r="C33" s="36">
        <f>C20</f>
        <v>9.375</v>
      </c>
      <c r="D33" s="35">
        <f>D20</f>
        <v>640</v>
      </c>
      <c r="E33" s="67">
        <f>D33/E20</f>
        <v>12.8</v>
      </c>
      <c r="F33" s="297">
        <f t="shared" si="0"/>
        <v>29.53125</v>
      </c>
    </row>
    <row r="34" spans="1:7" ht="12.75">
      <c r="A34" s="60" t="s">
        <v>86</v>
      </c>
      <c r="B34" s="141">
        <v>4.5</v>
      </c>
      <c r="C34" s="36">
        <f>C21</f>
        <v>6.382978723404255</v>
      </c>
      <c r="D34" s="35">
        <f>'1. coût de production '!D4</f>
        <v>940</v>
      </c>
      <c r="E34" s="67">
        <f>D34/E21</f>
        <v>12.051282051282051</v>
      </c>
      <c r="F34" s="297">
        <f t="shared" si="0"/>
        <v>28.72340425531915</v>
      </c>
      <c r="G34" s="125"/>
    </row>
    <row r="35" spans="1:6" ht="12.75">
      <c r="A35" s="60" t="s">
        <v>268</v>
      </c>
      <c r="B35" s="141">
        <v>3.6</v>
      </c>
      <c r="C35" s="36">
        <f>C3/D24</f>
        <v>8.16326530612245</v>
      </c>
      <c r="D35" s="35">
        <f>'1. coût de production '!D5</f>
        <v>735</v>
      </c>
      <c r="E35" s="67">
        <f>D35/E24</f>
        <v>13.61111111111111</v>
      </c>
      <c r="F35" s="297">
        <f>C35*B35</f>
        <v>29.387755102040817</v>
      </c>
    </row>
    <row r="36" spans="1:6" ht="12.75">
      <c r="A36" s="60"/>
      <c r="B36" s="141"/>
      <c r="C36" s="36"/>
      <c r="E36" s="67"/>
      <c r="F36" s="297"/>
    </row>
    <row r="37" spans="1:7" ht="12.75">
      <c r="A37" s="60" t="s">
        <v>95</v>
      </c>
      <c r="B37" s="141">
        <v>1.5</v>
      </c>
      <c r="C37" s="36">
        <f>C22</f>
        <v>8.787878787878787</v>
      </c>
      <c r="D37" s="66" t="s">
        <v>94</v>
      </c>
      <c r="E37" s="57" t="s">
        <v>94</v>
      </c>
      <c r="F37" s="297">
        <f t="shared" si="0"/>
        <v>13.18181818181818</v>
      </c>
      <c r="G37" s="54"/>
    </row>
    <row r="38" spans="1:6" ht="15" customHeight="1">
      <c r="A38" s="60" t="s">
        <v>96</v>
      </c>
      <c r="B38" s="141">
        <v>2</v>
      </c>
      <c r="C38" s="36">
        <f>C22</f>
        <v>8.787878787878787</v>
      </c>
      <c r="D38" s="66" t="s">
        <v>94</v>
      </c>
      <c r="E38" s="57" t="s">
        <v>94</v>
      </c>
      <c r="F38" s="297">
        <f t="shared" si="0"/>
        <v>17.575757575757574</v>
      </c>
    </row>
    <row r="39" spans="1:6" ht="12.75">
      <c r="A39" s="100" t="s">
        <v>270</v>
      </c>
      <c r="B39" s="296">
        <v>0.1</v>
      </c>
      <c r="C39" s="137" t="s">
        <v>74</v>
      </c>
      <c r="D39" s="264">
        <f>IF(C39="n",0,1)</f>
        <v>1</v>
      </c>
      <c r="E39" s="299" t="s">
        <v>269</v>
      </c>
      <c r="F39" s="298">
        <f>B39*C32*D39</f>
        <v>13.333333333333336</v>
      </c>
    </row>
    <row r="40" spans="1:6" ht="12.75">
      <c r="A40" s="60"/>
      <c r="B40" s="141"/>
      <c r="C40" s="36"/>
      <c r="E40" s="67"/>
      <c r="F40" s="61"/>
    </row>
    <row r="41" spans="1:7" ht="16.5" hidden="1" thickBot="1">
      <c r="A41" s="253" t="s">
        <v>103</v>
      </c>
      <c r="B41" s="155"/>
      <c r="D41" s="243"/>
      <c r="E41" s="252" t="s">
        <v>104</v>
      </c>
      <c r="F41" s="245"/>
      <c r="G41" s="244"/>
    </row>
    <row r="42" spans="1:7" ht="14.25" hidden="1" thickBot="1" thickTop="1">
      <c r="A42" s="254" t="s">
        <v>244</v>
      </c>
      <c r="B42" s="155"/>
      <c r="D42" s="246" t="s">
        <v>105</v>
      </c>
      <c r="E42" s="246" t="s">
        <v>106</v>
      </c>
      <c r="F42" s="247" t="s">
        <v>107</v>
      </c>
      <c r="G42" s="248" t="s">
        <v>108</v>
      </c>
    </row>
    <row r="43" spans="1:7" ht="16.5" hidden="1" thickBot="1" thickTop="1">
      <c r="A43" s="249" t="s">
        <v>248</v>
      </c>
      <c r="B43" s="256"/>
      <c r="D43" s="266">
        <f>F16+F19</f>
        <v>350.5452685099847</v>
      </c>
      <c r="E43" s="266">
        <f>D43/C3*2000</f>
        <v>116.84842283666157</v>
      </c>
      <c r="F43" s="265">
        <f>D43/C3</f>
        <v>0.05842421141833078</v>
      </c>
      <c r="G43" s="261">
        <f>D43/C19</f>
        <v>2.629089513824885</v>
      </c>
    </row>
    <row r="44" spans="1:7" ht="16.5" hidden="1" thickBot="1" thickTop="1">
      <c r="A44" s="249" t="s">
        <v>85</v>
      </c>
      <c r="B44" s="256"/>
      <c r="C44" s="68"/>
      <c r="D44" s="266">
        <f>F16+F20</f>
        <v>337.4619351766513</v>
      </c>
      <c r="E44" s="266">
        <f>D44/C3*2000</f>
        <v>112.48731172555043</v>
      </c>
      <c r="F44" s="265">
        <f>D44/C3</f>
        <v>0.056243655862775216</v>
      </c>
      <c r="G44" s="261">
        <f>D44/C27</f>
        <v>35.99593975217614</v>
      </c>
    </row>
    <row r="45" spans="1:7" ht="16.5" hidden="1" thickBot="1" thickTop="1">
      <c r="A45" s="249" t="s">
        <v>86</v>
      </c>
      <c r="B45" s="256"/>
      <c r="C45" s="68"/>
      <c r="D45" s="266">
        <f>F16+F21</f>
        <v>325.8927862404811</v>
      </c>
      <c r="E45" s="266">
        <f>D45/C3*2000</f>
        <v>108.63092874682704</v>
      </c>
      <c r="F45" s="265">
        <f>D45/C3</f>
        <v>0.054315464373413516</v>
      </c>
      <c r="G45" s="261">
        <f>D45/C28</f>
        <v>51.0565365110087</v>
      </c>
    </row>
    <row r="46" spans="1:7" ht="16.5" hidden="1" thickBot="1" thickTop="1">
      <c r="A46" s="249" t="s">
        <v>109</v>
      </c>
      <c r="B46" s="260" t="s">
        <v>246</v>
      </c>
      <c r="C46" s="139"/>
      <c r="D46" s="266">
        <f>F16+F22-F12</f>
        <v>330.7270866918028</v>
      </c>
      <c r="E46" s="266">
        <f>D46/C3*2000</f>
        <v>110.24236223060093</v>
      </c>
      <c r="F46" s="265">
        <f>D46/C3</f>
        <v>0.05512118111530047</v>
      </c>
      <c r="G46" s="261">
        <f>D46/C22</f>
        <v>37.63446158906722</v>
      </c>
    </row>
    <row r="47" spans="1:7" ht="16.5" hidden="1" thickBot="1" thickTop="1">
      <c r="A47" s="249" t="s">
        <v>247</v>
      </c>
      <c r="B47" s="257"/>
      <c r="D47" s="266">
        <f>F16+F24</f>
        <v>338.3547923195085</v>
      </c>
      <c r="E47" s="266">
        <f>D47/C3*2000</f>
        <v>112.78493077316949</v>
      </c>
      <c r="F47" s="265">
        <f>D47/C3</f>
        <v>0.056392465386584746</v>
      </c>
      <c r="G47" s="261">
        <f>D47/C35</f>
        <v>41.448462059139786</v>
      </c>
    </row>
    <row r="48" spans="1:7" ht="16.5" hidden="1" thickBot="1" thickTop="1">
      <c r="A48" s="250"/>
      <c r="B48" s="258"/>
      <c r="D48" s="266"/>
      <c r="E48" s="267" t="s">
        <v>110</v>
      </c>
      <c r="F48" s="265"/>
      <c r="G48" s="261"/>
    </row>
    <row r="49" spans="1:7" ht="16.5" hidden="1" thickBot="1" thickTop="1">
      <c r="A49" s="249" t="s">
        <v>248</v>
      </c>
      <c r="B49" s="259"/>
      <c r="D49" s="266">
        <f>D43+F26+F32+F39</f>
        <v>410.5452685099846</v>
      </c>
      <c r="E49" s="266">
        <f>D49/C3*2000</f>
        <v>136.84842283666154</v>
      </c>
      <c r="F49" s="265">
        <f>D49/C3</f>
        <v>0.06842421141833077</v>
      </c>
      <c r="G49" s="261">
        <f>D49/C19</f>
        <v>3.0790895138248846</v>
      </c>
    </row>
    <row r="50" spans="1:7" ht="16.5" hidden="1" thickBot="1" thickTop="1">
      <c r="A50" s="249" t="s">
        <v>85</v>
      </c>
      <c r="B50" s="259"/>
      <c r="D50" s="266">
        <f>D44+F27+F33</f>
        <v>381.9931851766513</v>
      </c>
      <c r="E50" s="266">
        <f>D50/C3*2000</f>
        <v>127.33106172555046</v>
      </c>
      <c r="F50" s="265">
        <f>D50/C3</f>
        <v>0.06366553086277522</v>
      </c>
      <c r="G50" s="261">
        <f>D50/C27</f>
        <v>40.74593975217614</v>
      </c>
    </row>
    <row r="51" spans="1:7" ht="16.5" hidden="1" thickBot="1" thickTop="1">
      <c r="A51" s="249" t="s">
        <v>86</v>
      </c>
      <c r="B51" s="259"/>
      <c r="D51" s="266">
        <f>D45+F28+F34</f>
        <v>368.5949139000556</v>
      </c>
      <c r="E51" s="266">
        <f>D51/C3*2000</f>
        <v>122.86497130001852</v>
      </c>
      <c r="F51" s="265">
        <f>D51/C3</f>
        <v>0.061432485650009264</v>
      </c>
      <c r="G51" s="261">
        <f>D51/C34</f>
        <v>57.746536511008706</v>
      </c>
    </row>
    <row r="52" spans="1:7" ht="16.5" hidden="1" thickBot="1" thickTop="1">
      <c r="A52" s="249" t="s">
        <v>109</v>
      </c>
      <c r="B52" s="257" t="s">
        <v>246</v>
      </c>
      <c r="D52" s="266">
        <f>D46+F29+F37+F38</f>
        <v>379.0604200251361</v>
      </c>
      <c r="E52" s="266">
        <f>D52/C3*2000</f>
        <v>126.35347334171205</v>
      </c>
      <c r="F52" s="265">
        <f>D52/C3</f>
        <v>0.06317673667085602</v>
      </c>
      <c r="G52" s="261">
        <f>D52/C22</f>
        <v>43.134461589067215</v>
      </c>
    </row>
    <row r="53" spans="1:7" ht="16.5" hidden="1" thickBot="1" thickTop="1">
      <c r="A53" s="249" t="s">
        <v>247</v>
      </c>
      <c r="B53" s="256"/>
      <c r="D53" s="266">
        <f>D47+F30+F35</f>
        <v>378.9262208909371</v>
      </c>
      <c r="E53" s="266">
        <f>D53/C3*2000</f>
        <v>126.30874029697902</v>
      </c>
      <c r="F53" s="265">
        <f>D53/C3</f>
        <v>0.06315437014848951</v>
      </c>
      <c r="G53" s="261">
        <f>D53/C35</f>
        <v>46.41846205913979</v>
      </c>
    </row>
    <row r="54" spans="1:7" ht="15.75" hidden="1" thickTop="1">
      <c r="A54" s="251" t="s">
        <v>111</v>
      </c>
      <c r="B54" s="255"/>
      <c r="C54"/>
      <c r="D54" s="266">
        <f>F16-F12-F11-F8</f>
        <v>229.86193517665131</v>
      </c>
      <c r="E54" s="266">
        <f>D54/'1. coût de production '!D6*2000</f>
        <v>76.62064505888378</v>
      </c>
      <c r="F54" s="265">
        <f>(F16-F12-F11-F8)/C3</f>
        <v>0.03831032252944189</v>
      </c>
      <c r="G54" s="262"/>
    </row>
    <row r="55" spans="2:7" ht="12.75" hidden="1">
      <c r="B55" s="155"/>
      <c r="D55" s="263"/>
      <c r="E55" s="263"/>
      <c r="F55" s="263"/>
      <c r="G55" s="263">
        <f>F54*'1. coût de production '!F21</f>
        <v>1.5324129011776755</v>
      </c>
    </row>
    <row r="56" spans="2:7" ht="12.75">
      <c r="B56" s="155"/>
      <c r="D56" s="263"/>
      <c r="E56" s="263"/>
      <c r="F56" s="263"/>
      <c r="G56" s="263"/>
    </row>
    <row r="57" ht="12.75">
      <c r="G57" s="263"/>
    </row>
  </sheetData>
  <sheetProtection/>
  <printOptions/>
  <pageMargins left="0.75" right="0.75" top="1" bottom="1" header="0.5" footer="0.5"/>
  <pageSetup horizontalDpi="600" verticalDpi="600" orientation="portrait" scale="75" r:id="rId1"/>
  <headerFooter alignWithMargins="0">
    <oddHeader>&amp;C&amp;A</oddHeader>
    <oddFooter>&amp;L&amp;D&amp;C&amp;F&amp;R&amp;P/&amp;N</oddFooter>
  </headerFooter>
  <ignoredErrors>
    <ignoredError sqref="F9 F2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="60" zoomScaleNormal="60" zoomScalePageLayoutView="0" workbookViewId="0" topLeftCell="A1">
      <selection activeCell="J15" sqref="J15"/>
    </sheetView>
  </sheetViews>
  <sheetFormatPr defaultColWidth="9.140625" defaultRowHeight="12.75"/>
  <cols>
    <col min="1" max="1" width="21.28125" style="71" customWidth="1"/>
    <col min="2" max="2" width="29.8515625" style="71" customWidth="1"/>
    <col min="3" max="3" width="22.140625" style="133" customWidth="1"/>
    <col min="4" max="4" width="52.140625" style="133" customWidth="1"/>
    <col min="5" max="5" width="17.00390625" style="300" customWidth="1"/>
    <col min="6" max="6" width="21.28125" style="333" customWidth="1"/>
    <col min="7" max="7" width="11.57421875" style="71" customWidth="1"/>
    <col min="8" max="8" width="8.421875" style="71" customWidth="1"/>
    <col min="9" max="9" width="9.140625" style="71" customWidth="1"/>
    <col min="11" max="11" width="10.421875" style="0" bestFit="1" customWidth="1"/>
  </cols>
  <sheetData>
    <row r="1" spans="1:6" s="76" customFormat="1" ht="29.25" customHeight="1">
      <c r="A1" s="341" t="s">
        <v>276</v>
      </c>
      <c r="B1" s="342"/>
      <c r="C1" s="343">
        <v>10000</v>
      </c>
      <c r="E1" s="300"/>
      <c r="F1" s="300"/>
    </row>
    <row r="2" spans="1:5" s="123" customFormat="1" ht="27" customHeight="1">
      <c r="A2" s="348" t="s">
        <v>119</v>
      </c>
      <c r="B2" s="342"/>
      <c r="C2" s="349">
        <f>C3*E3</f>
        <v>31250</v>
      </c>
      <c r="E2" s="344"/>
    </row>
    <row r="3" spans="1:5" s="122" customFormat="1" ht="28.5" customHeight="1">
      <c r="A3" s="517" t="s">
        <v>285</v>
      </c>
      <c r="B3" s="517"/>
      <c r="C3" s="301">
        <f>D4*B4</f>
        <v>5000</v>
      </c>
      <c r="D3" s="120" t="s">
        <v>277</v>
      </c>
      <c r="E3" s="345">
        <v>6.25</v>
      </c>
    </row>
    <row r="4" spans="1:4" s="122" customFormat="1" ht="22.5" customHeight="1">
      <c r="A4" s="120" t="s">
        <v>121</v>
      </c>
      <c r="B4" s="346">
        <v>100</v>
      </c>
      <c r="C4" s="120" t="s">
        <v>120</v>
      </c>
      <c r="D4" s="347">
        <v>50</v>
      </c>
    </row>
    <row r="5" spans="3:6" s="25" customFormat="1" ht="33" customHeight="1" thickBot="1">
      <c r="C5" s="305"/>
      <c r="E5" s="306"/>
      <c r="F5" s="307"/>
    </row>
    <row r="6" spans="1:8" s="17" customFormat="1" ht="24" customHeight="1">
      <c r="A6" s="308"/>
      <c r="B6" s="309"/>
      <c r="C6" s="309"/>
      <c r="D6" s="483" t="s">
        <v>278</v>
      </c>
      <c r="E6" s="485" t="s">
        <v>663</v>
      </c>
      <c r="F6" s="486"/>
      <c r="G6" s="334"/>
      <c r="H6" s="334"/>
    </row>
    <row r="7" spans="1:8" s="17" customFormat="1" ht="24" customHeight="1" thickBot="1">
      <c r="A7" s="480"/>
      <c r="B7" s="122"/>
      <c r="C7" s="122"/>
      <c r="D7" s="481"/>
      <c r="E7" s="484" t="s">
        <v>664</v>
      </c>
      <c r="F7" s="482"/>
      <c r="G7" s="334"/>
      <c r="H7" s="334"/>
    </row>
    <row r="8" spans="1:6" s="18" customFormat="1" ht="32.25" customHeight="1" thickBot="1">
      <c r="A8" s="514" t="s">
        <v>279</v>
      </c>
      <c r="B8" s="515"/>
      <c r="C8" s="516"/>
      <c r="D8" s="338">
        <v>500</v>
      </c>
      <c r="E8" s="520">
        <f>('4. coûts d''entreposage'!C1*'Avant-Propos'!E27+'Avant-Propos'!G27*'4. coûts d''entreposage'!C2+'4. coûts d''entreposage'!C1*'Avant-Propos'!I27+'Avant-Propos'!D27*'4. coûts d''entreposage'!C1)/D8</f>
        <v>2.225</v>
      </c>
      <c r="F8" s="521"/>
    </row>
    <row r="9" spans="1:6" s="18" customFormat="1" ht="39" customHeight="1" thickBot="1">
      <c r="A9" s="518" t="s">
        <v>280</v>
      </c>
      <c r="B9" s="519"/>
      <c r="C9" s="335" t="s">
        <v>281</v>
      </c>
      <c r="D9" s="337" t="s">
        <v>283</v>
      </c>
      <c r="E9" s="339" t="s">
        <v>273</v>
      </c>
      <c r="F9" s="340"/>
    </row>
    <row r="10" spans="1:6" s="18" customFormat="1" ht="30.75" customHeight="1" thickBot="1">
      <c r="A10" s="302">
        <v>700</v>
      </c>
      <c r="B10" s="311"/>
      <c r="C10" s="303">
        <v>0.55</v>
      </c>
      <c r="D10" s="312">
        <f>C10/0.87*A10</f>
        <v>442.5287356321839</v>
      </c>
      <c r="E10" s="520">
        <f>('4. coûts d''entreposage'!C1*'Avant-Propos'!E27+'Avant-Propos'!G27*'4. coûts d''entreposage'!C2+'4. coûts d''entreposage'!C1*'Avant-Propos'!I27+'Avant-Propos'!D29*'4. coûts d''entreposage'!C1)/D10</f>
        <v>2.513961038961039</v>
      </c>
      <c r="F10" s="521"/>
    </row>
    <row r="11" spans="1:6" s="18" customFormat="1" ht="33" customHeight="1" thickTop="1">
      <c r="A11" s="305"/>
      <c r="B11" s="313"/>
      <c r="C11" s="305"/>
      <c r="D11" s="314" t="s">
        <v>282</v>
      </c>
      <c r="E11" s="315"/>
      <c r="F11" s="316"/>
    </row>
    <row r="12" spans="1:6" s="18" customFormat="1" ht="24" customHeight="1" thickBot="1">
      <c r="A12" s="317"/>
      <c r="B12" s="122"/>
      <c r="C12" s="122"/>
      <c r="D12" s="318"/>
      <c r="E12" s="319"/>
      <c r="F12" s="320"/>
    </row>
    <row r="13" spans="1:6" s="18" customFormat="1" ht="31.5" customHeight="1" thickBot="1">
      <c r="A13" s="511" t="s">
        <v>279</v>
      </c>
      <c r="B13" s="512"/>
      <c r="C13" s="513"/>
      <c r="D13" s="310">
        <v>500</v>
      </c>
      <c r="E13" s="520">
        <f>('4. coûts d''entreposage'!C1*'Avant-Propos'!E28+'Avant-Propos'!G28*'4. coûts d''entreposage'!C2+'4. coûts d''entreposage'!C1*'Avant-Propos'!I28+'Avant-Propos'!D28*'4. coûts d''entreposage'!C1)/D13</f>
        <v>1.75625</v>
      </c>
      <c r="F13" s="521"/>
    </row>
    <row r="14" spans="1:6" s="18" customFormat="1" ht="33" customHeight="1" thickBot="1">
      <c r="A14" s="518" t="s">
        <v>280</v>
      </c>
      <c r="B14" s="519"/>
      <c r="C14" s="335" t="s">
        <v>281</v>
      </c>
      <c r="D14" s="336" t="s">
        <v>283</v>
      </c>
      <c r="E14" s="525" t="s">
        <v>273</v>
      </c>
      <c r="F14" s="522"/>
    </row>
    <row r="15" spans="1:6" s="18" customFormat="1" ht="30" customHeight="1" thickBot="1">
      <c r="A15" s="302">
        <v>400</v>
      </c>
      <c r="B15" s="311"/>
      <c r="C15" s="303">
        <v>0.45</v>
      </c>
      <c r="D15" s="321">
        <f>C15/0.87*A15</f>
        <v>206.89655172413794</v>
      </c>
      <c r="E15" s="520">
        <f>('4. coûts d''entreposage'!C1*'Avant-Propos'!E28+'Avant-Propos'!G28*'4. coûts d''entreposage'!C2+'4. coûts d''entreposage'!C1*'Avant-Propos'!I28+'Avant-Propos'!D28*'4. coûts d''entreposage'!C1)/D15</f>
        <v>4.244270833333333</v>
      </c>
      <c r="F15" s="521"/>
    </row>
    <row r="16" spans="1:6" s="18" customFormat="1" ht="33" customHeight="1" thickTop="1">
      <c r="A16" s="322"/>
      <c r="B16" s="305"/>
      <c r="C16" s="305"/>
      <c r="D16" s="323" t="s">
        <v>284</v>
      </c>
      <c r="E16" s="324"/>
      <c r="F16" s="325"/>
    </row>
    <row r="17" spans="1:6" s="18" customFormat="1" ht="23.25" customHeight="1">
      <c r="A17" s="317"/>
      <c r="B17" s="122"/>
      <c r="C17" s="122"/>
      <c r="D17" s="487" t="s">
        <v>665</v>
      </c>
      <c r="E17" s="326"/>
      <c r="F17" s="327"/>
    </row>
    <row r="18" spans="1:6" s="18" customFormat="1" ht="27.75" customHeight="1" thickBot="1">
      <c r="A18" s="511" t="s">
        <v>662</v>
      </c>
      <c r="B18" s="512"/>
      <c r="C18" s="513"/>
      <c r="D18" s="328">
        <v>12000</v>
      </c>
      <c r="E18" s="523">
        <f>('Avant-Propos'!G29*C2+('Avant-Propos'!J29-'Avant-Propos'!G29)*C1)/'4. coûts d''entreposage'!D18</f>
        <v>0.1265625</v>
      </c>
      <c r="F18" s="524"/>
    </row>
    <row r="19" spans="1:9" ht="33" customHeight="1" thickBot="1" thickTop="1">
      <c r="A19" s="304" t="s">
        <v>274</v>
      </c>
      <c r="B19" s="329"/>
      <c r="C19" s="329"/>
      <c r="D19" s="329"/>
      <c r="E19" s="330" t="s">
        <v>275</v>
      </c>
      <c r="F19" s="331"/>
      <c r="G19"/>
      <c r="H19"/>
      <c r="I19"/>
    </row>
    <row r="20" spans="1:9" ht="20.25">
      <c r="A20" s="119"/>
      <c r="B20" s="118"/>
      <c r="C20" s="122"/>
      <c r="D20" s="134"/>
      <c r="E20" s="124"/>
      <c r="F20" s="332"/>
      <c r="G20"/>
      <c r="H20"/>
      <c r="I20"/>
    </row>
  </sheetData>
  <sheetProtection/>
  <printOptions/>
  <pageMargins left="0.75" right="0.75" top="1" bottom="1" header="0.5" footer="0.5"/>
  <pageSetup horizontalDpi="600" verticalDpi="600" orientation="landscape" scale="67" r:id="rId1"/>
  <headerFooter alignWithMargins="0">
    <oddHeader>&amp;C&amp;A</oddHeader>
    <oddFooter>&amp;L&amp;D&amp;C&amp;F&amp;R&amp;P/&amp;N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21.7109375" style="0" customWidth="1"/>
    <col min="4" max="4" width="18.140625" style="0" customWidth="1"/>
    <col min="6" max="6" width="32.8515625" style="0" customWidth="1"/>
    <col min="7" max="7" width="16.28125" style="0" customWidth="1"/>
    <col min="8" max="8" width="9.57421875" style="0" customWidth="1"/>
  </cols>
  <sheetData>
    <row r="1" spans="1:9" s="350" customFormat="1" ht="19.5" customHeight="1">
      <c r="A1" s="41" t="s">
        <v>122</v>
      </c>
      <c r="G1" s="351" t="s">
        <v>123</v>
      </c>
      <c r="H1" s="352"/>
      <c r="I1" s="352"/>
    </row>
    <row r="2" s="350" customFormat="1" ht="19.5" customHeight="1">
      <c r="A2" s="370" t="s">
        <v>124</v>
      </c>
    </row>
    <row r="3" spans="1:4" s="350" customFormat="1" ht="19.5" customHeight="1">
      <c r="A3" s="353" t="s">
        <v>125</v>
      </c>
      <c r="D3" s="354">
        <v>26000</v>
      </c>
    </row>
    <row r="4" spans="1:9" s="350" customFormat="1" ht="19.5" customHeight="1">
      <c r="A4" s="41" t="s">
        <v>126</v>
      </c>
      <c r="D4" s="355">
        <v>13000</v>
      </c>
      <c r="E4" s="350" t="s">
        <v>127</v>
      </c>
      <c r="F4" s="41" t="s">
        <v>128</v>
      </c>
      <c r="H4" s="356">
        <v>15</v>
      </c>
      <c r="I4" s="350" t="s">
        <v>129</v>
      </c>
    </row>
    <row r="5" spans="1:9" s="350" customFormat="1" ht="19.5" customHeight="1">
      <c r="A5" s="353" t="s">
        <v>130</v>
      </c>
      <c r="D5" s="354">
        <v>2600</v>
      </c>
      <c r="E5" s="350" t="s">
        <v>131</v>
      </c>
      <c r="F5" s="41" t="s">
        <v>132</v>
      </c>
      <c r="H5" s="357">
        <v>0.04</v>
      </c>
      <c r="I5" s="350" t="s">
        <v>133</v>
      </c>
    </row>
    <row r="6" spans="1:9" s="350" customFormat="1" ht="19.5" customHeight="1">
      <c r="A6" s="41" t="s">
        <v>134</v>
      </c>
      <c r="D6" s="358">
        <v>400</v>
      </c>
      <c r="E6" s="350" t="s">
        <v>135</v>
      </c>
      <c r="F6" s="41" t="s">
        <v>136</v>
      </c>
      <c r="H6" s="359">
        <v>110</v>
      </c>
      <c r="I6" s="350" t="s">
        <v>137</v>
      </c>
    </row>
    <row r="7" spans="1:8" s="350" customFormat="1" ht="19.5" customHeight="1">
      <c r="A7" s="41" t="s">
        <v>138</v>
      </c>
      <c r="C7" s="360"/>
      <c r="D7" s="361">
        <v>2000</v>
      </c>
      <c r="E7" s="350" t="s">
        <v>139</v>
      </c>
      <c r="F7" s="350" t="s">
        <v>140</v>
      </c>
      <c r="H7" s="362">
        <f>D7/H6</f>
        <v>18.181818181818183</v>
      </c>
    </row>
    <row r="8" spans="1:13" s="350" customFormat="1" ht="19.5" customHeight="1" thickBot="1">
      <c r="A8" s="41" t="s">
        <v>141</v>
      </c>
      <c r="D8" s="363">
        <v>0.25</v>
      </c>
      <c r="F8" s="350" t="s">
        <v>142</v>
      </c>
      <c r="H8" s="364">
        <v>575</v>
      </c>
      <c r="I8" s="350" t="s">
        <v>97</v>
      </c>
      <c r="M8" s="365"/>
    </row>
    <row r="9" spans="1:8" s="350" customFormat="1" ht="19.5" customHeight="1" thickBot="1">
      <c r="A9" s="366" t="s">
        <v>143</v>
      </c>
      <c r="B9" s="367"/>
      <c r="C9" s="367"/>
      <c r="D9" s="367"/>
      <c r="E9" s="368">
        <v>0.03</v>
      </c>
      <c r="F9" s="350" t="s">
        <v>144</v>
      </c>
      <c r="H9" s="369">
        <f>D6/H6</f>
        <v>3.6363636363636362</v>
      </c>
    </row>
    <row r="10" spans="1:10" ht="15.75">
      <c r="A10" s="371" t="s">
        <v>145</v>
      </c>
      <c r="C10" s="350"/>
      <c r="D10" s="350"/>
      <c r="E10" s="372"/>
      <c r="F10" s="350"/>
      <c r="G10" s="373">
        <f>I40</f>
        <v>3042</v>
      </c>
      <c r="H10" s="1"/>
      <c r="I10" s="1"/>
      <c r="J10" s="99"/>
    </row>
    <row r="11" spans="1:9" ht="12.75">
      <c r="A11" s="79"/>
      <c r="B11" s="79"/>
      <c r="C11" s="79"/>
      <c r="D11" s="89" t="s">
        <v>146</v>
      </c>
      <c r="E11" s="79"/>
      <c r="F11" s="79"/>
      <c r="G11" s="90" t="s">
        <v>147</v>
      </c>
      <c r="H11" s="91"/>
      <c r="I11" s="35"/>
    </row>
    <row r="12" spans="1:8" ht="12.75">
      <c r="A12" s="79"/>
      <c r="B12" s="79"/>
      <c r="C12" s="79"/>
      <c r="D12" s="79"/>
      <c r="E12" s="79"/>
      <c r="F12" s="79"/>
      <c r="G12" s="92"/>
      <c r="H12" s="79"/>
    </row>
    <row r="13" spans="1:9" ht="15">
      <c r="A13" s="82" t="s">
        <v>148</v>
      </c>
      <c r="B13" s="83"/>
      <c r="C13" s="84"/>
      <c r="D13" s="172">
        <f>H42/H6</f>
        <v>42.654545454545456</v>
      </c>
      <c r="E13" s="85"/>
      <c r="F13" s="79"/>
      <c r="G13" s="174">
        <f>I44</f>
        <v>27.654545454545456</v>
      </c>
      <c r="H13" s="79"/>
      <c r="I13" s="35"/>
    </row>
    <row r="14" spans="1:8" ht="15">
      <c r="A14" s="86" t="s">
        <v>149</v>
      </c>
      <c r="B14" s="83"/>
      <c r="C14" s="84"/>
      <c r="D14" s="173">
        <f>H42/D6</f>
        <v>11.73</v>
      </c>
      <c r="E14" s="85"/>
      <c r="F14" s="79"/>
      <c r="G14" s="174">
        <f>I46</f>
        <v>7.605</v>
      </c>
      <c r="H14" s="79"/>
    </row>
    <row r="15" spans="1:8" ht="15">
      <c r="A15" s="87" t="s">
        <v>150</v>
      </c>
      <c r="B15" s="88"/>
      <c r="C15" s="85"/>
      <c r="D15" s="174">
        <f>(H42+D8*D7)/D7</f>
        <v>2.596</v>
      </c>
      <c r="E15" s="88"/>
      <c r="F15" s="79"/>
      <c r="G15" s="174">
        <f>(I42+D8*D7)/D7</f>
        <v>1.771</v>
      </c>
      <c r="H15" s="79"/>
    </row>
    <row r="16" spans="1:9" ht="12.75">
      <c r="A16" s="42" t="s">
        <v>151</v>
      </c>
      <c r="F16" s="96" t="s">
        <v>152</v>
      </c>
      <c r="H16" s="3"/>
      <c r="I16" s="152">
        <f>I28</f>
        <v>780</v>
      </c>
    </row>
    <row r="17" ht="15.75">
      <c r="A17" s="78" t="s">
        <v>153</v>
      </c>
    </row>
    <row r="18" ht="12.75">
      <c r="A18" s="96" t="s">
        <v>154</v>
      </c>
    </row>
    <row r="19" spans="1:9" ht="12.75">
      <c r="A19" s="2" t="s">
        <v>155</v>
      </c>
      <c r="I19" s="35"/>
    </row>
    <row r="20" spans="1:9" ht="12.75">
      <c r="A20" s="2" t="s">
        <v>156</v>
      </c>
      <c r="C20" s="96" t="s">
        <v>157</v>
      </c>
      <c r="I20" s="152">
        <f>(D3-D5)/H4</f>
        <v>1560</v>
      </c>
    </row>
    <row r="21" spans="1:9" ht="12.75">
      <c r="A21" s="42"/>
      <c r="H21" s="45"/>
      <c r="I21" s="152"/>
    </row>
    <row r="22" spans="1:9" ht="12.75">
      <c r="A22" s="43" t="s">
        <v>158</v>
      </c>
      <c r="B22" s="4"/>
      <c r="I22" s="152"/>
    </row>
    <row r="23" spans="1:9" ht="12.75">
      <c r="A23" s="49" t="s">
        <v>159</v>
      </c>
      <c r="B23" s="50" t="s">
        <v>160</v>
      </c>
      <c r="G23" s="3"/>
      <c r="H23" s="45"/>
      <c r="I23" s="152">
        <f>(D4+D5)/2*H5</f>
        <v>312</v>
      </c>
    </row>
    <row r="24" spans="1:9" ht="12.75">
      <c r="A24" s="2"/>
      <c r="B24" s="2"/>
      <c r="I24" s="152"/>
    </row>
    <row r="25" spans="1:9" ht="12.75">
      <c r="A25" s="43" t="s">
        <v>161</v>
      </c>
      <c r="B25" s="2"/>
      <c r="G25" s="3"/>
      <c r="H25" s="48" t="s">
        <v>159</v>
      </c>
      <c r="I25" s="152">
        <f>D3*0.015</f>
        <v>390</v>
      </c>
    </row>
    <row r="26" ht="12.75">
      <c r="I26" s="152"/>
    </row>
    <row r="27" spans="1:9" ht="12.75">
      <c r="A27" s="2" t="s">
        <v>162</v>
      </c>
      <c r="H27" s="3"/>
      <c r="I27" s="152"/>
    </row>
    <row r="28" spans="1:9" ht="12.75">
      <c r="A28" s="43" t="s">
        <v>163</v>
      </c>
      <c r="F28" s="96" t="s">
        <v>164</v>
      </c>
      <c r="G28" s="3"/>
      <c r="H28" s="3"/>
      <c r="I28" s="152">
        <f>E9*D3</f>
        <v>780</v>
      </c>
    </row>
    <row r="29" ht="12.75">
      <c r="F29" s="2" t="s">
        <v>165</v>
      </c>
    </row>
    <row r="30" spans="1:6" ht="12.75">
      <c r="A30" s="43" t="s">
        <v>166</v>
      </c>
      <c r="E30" s="46" t="s">
        <v>159</v>
      </c>
      <c r="F30" s="170">
        <v>0</v>
      </c>
    </row>
    <row r="31" spans="5:8" ht="12.75">
      <c r="E31" s="3"/>
      <c r="F31" s="170"/>
      <c r="G31" s="3"/>
      <c r="H31" s="47"/>
    </row>
    <row r="32" spans="1:8" ht="12.75">
      <c r="A32" s="43" t="s">
        <v>167</v>
      </c>
      <c r="F32" s="170">
        <f>0.15*F30</f>
        <v>0</v>
      </c>
      <c r="H32" s="47"/>
    </row>
    <row r="33" spans="5:8" ht="12.75">
      <c r="E33" s="3"/>
      <c r="F33" s="47"/>
      <c r="G33" s="3"/>
      <c r="H33" s="47"/>
    </row>
    <row r="34" spans="1:6" ht="12.75">
      <c r="A34" t="s">
        <v>168</v>
      </c>
      <c r="E34" t="s">
        <v>159</v>
      </c>
      <c r="F34" s="171">
        <v>15</v>
      </c>
    </row>
    <row r="36" spans="1:8" ht="12.75">
      <c r="A36" s="2" t="s">
        <v>169</v>
      </c>
      <c r="E36" s="3" t="s">
        <v>159</v>
      </c>
      <c r="F36" s="170">
        <f>F30+F34+F32</f>
        <v>15</v>
      </c>
      <c r="H36" s="47"/>
    </row>
    <row r="37" spans="6:8" ht="12.75">
      <c r="F37" s="170"/>
      <c r="H37" s="47"/>
    </row>
    <row r="38" spans="1:9" ht="12.75">
      <c r="A38" t="s">
        <v>170</v>
      </c>
      <c r="E38" t="s">
        <v>159</v>
      </c>
      <c r="F38" s="170">
        <v>1650</v>
      </c>
      <c r="H38" t="s">
        <v>171</v>
      </c>
      <c r="I38" t="s">
        <v>172</v>
      </c>
    </row>
    <row r="40" spans="1:9" ht="12.75">
      <c r="A40" t="s">
        <v>173</v>
      </c>
      <c r="G40" s="3"/>
      <c r="H40" s="171">
        <f>SUM(I20:I28)</f>
        <v>3042</v>
      </c>
      <c r="I40" s="171">
        <f>SUM(I20:I28)</f>
        <v>3042</v>
      </c>
    </row>
    <row r="41" spans="8:9" ht="12.75">
      <c r="H41" s="171"/>
      <c r="I41" s="171"/>
    </row>
    <row r="42" spans="1:9" ht="12.75">
      <c r="A42" t="s">
        <v>174</v>
      </c>
      <c r="E42" t="s">
        <v>175</v>
      </c>
      <c r="H42" s="171">
        <f>H40+F38</f>
        <v>4692</v>
      </c>
      <c r="I42" s="171">
        <f>(F36-F34)*H6+I40</f>
        <v>3042</v>
      </c>
    </row>
    <row r="43" ht="12.75">
      <c r="I43" s="47"/>
    </row>
    <row r="44" spans="1:9" ht="12.75">
      <c r="A44" t="s">
        <v>176</v>
      </c>
      <c r="H44" s="170">
        <f>H42/H6</f>
        <v>42.654545454545456</v>
      </c>
      <c r="I44" s="170">
        <f>I42/H6</f>
        <v>27.654545454545456</v>
      </c>
    </row>
    <row r="45" spans="2:9" ht="12.75">
      <c r="B45" s="44"/>
      <c r="G45" s="3"/>
      <c r="H45" s="170"/>
      <c r="I45" s="170"/>
    </row>
    <row r="46" spans="1:9" ht="12.75">
      <c r="A46" t="s">
        <v>177</v>
      </c>
      <c r="H46" s="170">
        <f>H42/D6</f>
        <v>11.73</v>
      </c>
      <c r="I46" s="170">
        <f>I42/D6</f>
        <v>7.605</v>
      </c>
    </row>
  </sheetData>
  <sheetProtection/>
  <printOptions/>
  <pageMargins left="0.75" right="0.75" top="1" bottom="1" header="0.5" footer="0.5"/>
  <pageSetup horizontalDpi="600" verticalDpi="600" orientation="landscape" scale="66" r:id="rId1"/>
  <headerFooter alignWithMargins="0">
    <oddHeader>&amp;C&amp;A</oddHeader>
    <oddFooter>&amp;L&amp;D&amp;C&amp;F&amp;R&amp;P/&amp;N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2.7109375" style="0" customWidth="1"/>
    <col min="2" max="2" width="31.140625" style="0" customWidth="1"/>
    <col min="3" max="3" width="16.140625" style="0" customWidth="1"/>
    <col min="4" max="5" width="12.7109375" style="0" customWidth="1"/>
    <col min="6" max="6" width="22.7109375" style="0" customWidth="1"/>
    <col min="7" max="10" width="12.7109375" style="0" customWidth="1"/>
  </cols>
  <sheetData>
    <row r="1" spans="1:8" ht="19.5" customHeight="1">
      <c r="A1" s="41" t="s">
        <v>178</v>
      </c>
      <c r="F1" s="374" t="s">
        <v>179</v>
      </c>
      <c r="H1" s="409"/>
    </row>
    <row r="2" ht="19.5" customHeight="1">
      <c r="A2" t="s">
        <v>124</v>
      </c>
    </row>
    <row r="3" spans="1:8" ht="19.5" customHeight="1">
      <c r="A3" s="375" t="s">
        <v>125</v>
      </c>
      <c r="B3" s="376"/>
      <c r="C3" s="391">
        <v>52000</v>
      </c>
      <c r="D3" s="376" t="s">
        <v>127</v>
      </c>
      <c r="E3" s="376"/>
      <c r="F3" s="376"/>
      <c r="G3" s="376"/>
      <c r="H3" s="376"/>
    </row>
    <row r="4" spans="1:8" ht="19.5" customHeight="1">
      <c r="A4" s="377" t="s">
        <v>180</v>
      </c>
      <c r="B4" s="376"/>
      <c r="C4" s="392">
        <v>23000</v>
      </c>
      <c r="D4" s="376"/>
      <c r="E4" s="411" t="s">
        <v>128</v>
      </c>
      <c r="F4" s="376"/>
      <c r="G4" s="378">
        <v>15</v>
      </c>
      <c r="H4" s="376" t="s">
        <v>181</v>
      </c>
    </row>
    <row r="5" spans="1:8" ht="19.5" customHeight="1">
      <c r="A5" s="377" t="s">
        <v>130</v>
      </c>
      <c r="B5" s="376"/>
      <c r="C5" s="391">
        <v>22000</v>
      </c>
      <c r="D5" s="376" t="s">
        <v>131</v>
      </c>
      <c r="E5" s="411" t="s">
        <v>132</v>
      </c>
      <c r="F5" s="376"/>
      <c r="G5" s="379">
        <v>0.04</v>
      </c>
      <c r="H5" s="376" t="s">
        <v>133</v>
      </c>
    </row>
    <row r="6" spans="1:8" ht="19.5" customHeight="1" thickBot="1">
      <c r="A6" s="377" t="s">
        <v>182</v>
      </c>
      <c r="B6" s="376"/>
      <c r="C6" s="410">
        <v>8</v>
      </c>
      <c r="D6" s="376" t="s">
        <v>183</v>
      </c>
      <c r="E6" s="411" t="s">
        <v>184</v>
      </c>
      <c r="F6" s="376"/>
      <c r="G6" s="380">
        <v>600</v>
      </c>
      <c r="H6" s="376" t="s">
        <v>137</v>
      </c>
    </row>
    <row r="7" spans="1:9" ht="19.5" customHeight="1" thickBot="1">
      <c r="A7" s="377" t="s">
        <v>185</v>
      </c>
      <c r="B7" s="376"/>
      <c r="C7" s="381">
        <v>0.65</v>
      </c>
      <c r="D7" s="376" t="s">
        <v>186</v>
      </c>
      <c r="E7" s="412" t="s">
        <v>187</v>
      </c>
      <c r="F7" s="382"/>
      <c r="G7" s="383"/>
      <c r="I7" s="414">
        <v>0.03</v>
      </c>
    </row>
    <row r="8" spans="1:13" ht="19.5" customHeight="1">
      <c r="A8" s="398" t="s">
        <v>188</v>
      </c>
      <c r="C8" s="384">
        <f>I41</f>
        <v>8393</v>
      </c>
      <c r="E8" s="376"/>
      <c r="F8" s="376"/>
      <c r="G8" s="376"/>
      <c r="M8" s="52"/>
    </row>
    <row r="9" spans="1:8" ht="19.5" customHeight="1">
      <c r="A9" s="408" t="s">
        <v>286</v>
      </c>
      <c r="B9" s="376"/>
      <c r="C9" s="376"/>
      <c r="D9" s="376"/>
      <c r="E9" s="376"/>
      <c r="F9" s="385"/>
      <c r="G9" s="152">
        <f>I27</f>
        <v>1560</v>
      </c>
      <c r="H9" s="413"/>
    </row>
    <row r="10" spans="1:9" ht="19.5" customHeight="1">
      <c r="A10" s="376"/>
      <c r="B10" s="376"/>
      <c r="C10" s="376"/>
      <c r="D10" s="376"/>
      <c r="E10" s="376"/>
      <c r="F10" s="376"/>
      <c r="G10" s="386"/>
      <c r="I10" s="35"/>
    </row>
    <row r="11" spans="1:9" ht="19.5" customHeight="1">
      <c r="A11" s="376"/>
      <c r="B11" s="405" t="s">
        <v>189</v>
      </c>
      <c r="C11" s="405"/>
      <c r="D11" s="403"/>
      <c r="E11" s="404"/>
      <c r="F11" s="399"/>
      <c r="G11" s="406" t="s">
        <v>147</v>
      </c>
      <c r="H11" s="407"/>
      <c r="I11" s="1"/>
    </row>
    <row r="12" spans="1:8" ht="19.5" customHeight="1">
      <c r="A12" s="376"/>
      <c r="B12" s="376"/>
      <c r="C12" s="376"/>
      <c r="D12" s="376"/>
      <c r="E12" s="376"/>
      <c r="F12" s="376"/>
      <c r="G12" s="387"/>
      <c r="H12" s="388"/>
    </row>
    <row r="13" spans="1:9" ht="19.5" customHeight="1">
      <c r="A13" s="401" t="s">
        <v>190</v>
      </c>
      <c r="B13" s="402"/>
      <c r="C13" s="393">
        <f>H41/G6</f>
        <v>28.988333333333333</v>
      </c>
      <c r="E13" s="400"/>
      <c r="F13" s="394">
        <f>I43</f>
        <v>13.988333333333333</v>
      </c>
      <c r="H13" s="399"/>
      <c r="I13" s="45"/>
    </row>
    <row r="14" spans="1:8" ht="19.5" customHeight="1">
      <c r="A14" s="389" t="s">
        <v>191</v>
      </c>
      <c r="B14" s="390"/>
      <c r="C14" s="395">
        <f>H41</f>
        <v>17393</v>
      </c>
      <c r="E14" s="396"/>
      <c r="F14" s="397">
        <f>I41</f>
        <v>8393</v>
      </c>
      <c r="H14" s="376"/>
    </row>
    <row r="15" spans="1:7" ht="19.5" customHeight="1">
      <c r="A15" s="14"/>
      <c r="C15" s="47"/>
      <c r="D15" s="51"/>
      <c r="G15" s="51"/>
    </row>
    <row r="18" spans="1:9" ht="12.75">
      <c r="A18" s="2" t="s">
        <v>155</v>
      </c>
      <c r="I18" s="35"/>
    </row>
    <row r="19" spans="1:9" ht="12.75">
      <c r="A19" s="2" t="s">
        <v>156</v>
      </c>
      <c r="C19" s="96" t="s">
        <v>157</v>
      </c>
      <c r="I19" s="152">
        <f>(C3-C5)/G4</f>
        <v>2000</v>
      </c>
    </row>
    <row r="20" spans="1:9" ht="12.75">
      <c r="A20" s="42"/>
      <c r="H20" s="45"/>
      <c r="I20" s="152"/>
    </row>
    <row r="21" spans="1:9" ht="12.75">
      <c r="A21" s="43" t="s">
        <v>192</v>
      </c>
      <c r="B21" s="4"/>
      <c r="I21" s="152"/>
    </row>
    <row r="22" spans="1:9" ht="12.75">
      <c r="A22" s="49" t="s">
        <v>159</v>
      </c>
      <c r="B22" s="50" t="s">
        <v>193</v>
      </c>
      <c r="G22" s="3"/>
      <c r="H22" s="45"/>
      <c r="I22" s="152">
        <f>(C4+C5)/2*G5</f>
        <v>900</v>
      </c>
    </row>
    <row r="23" spans="1:9" ht="12.75">
      <c r="A23" s="2"/>
      <c r="B23" s="2"/>
      <c r="I23" s="152"/>
    </row>
    <row r="24" spans="1:9" ht="12.75">
      <c r="A24" s="43" t="s">
        <v>194</v>
      </c>
      <c r="B24" s="2"/>
      <c r="G24" s="3"/>
      <c r="H24" s="48" t="s">
        <v>159</v>
      </c>
      <c r="I24" s="152">
        <f>C4*0.015</f>
        <v>345</v>
      </c>
    </row>
    <row r="25" ht="12.75">
      <c r="I25" s="35"/>
    </row>
    <row r="26" spans="1:9" ht="12.75">
      <c r="A26" s="2" t="s">
        <v>162</v>
      </c>
      <c r="H26" s="3"/>
      <c r="I26" s="35"/>
    </row>
    <row r="27" spans="1:9" ht="12.75">
      <c r="A27" s="43" t="s">
        <v>163</v>
      </c>
      <c r="F27" s="96" t="s">
        <v>195</v>
      </c>
      <c r="G27" s="3"/>
      <c r="H27" s="3"/>
      <c r="I27" s="152">
        <f>I7*C3</f>
        <v>1560</v>
      </c>
    </row>
    <row r="28" ht="12.75">
      <c r="F28" s="2" t="s">
        <v>165</v>
      </c>
    </row>
    <row r="29" spans="1:6" ht="12.75">
      <c r="A29" s="43" t="s">
        <v>166</v>
      </c>
      <c r="E29" s="46" t="s">
        <v>159</v>
      </c>
      <c r="F29" s="170">
        <f>C6*C7</f>
        <v>5.2</v>
      </c>
    </row>
    <row r="30" spans="5:8" ht="12.75">
      <c r="E30" s="3"/>
      <c r="F30" s="170"/>
      <c r="G30" s="3"/>
      <c r="H30" s="47"/>
    </row>
    <row r="31" spans="1:8" ht="12.75">
      <c r="A31" s="43" t="s">
        <v>167</v>
      </c>
      <c r="F31" s="170">
        <f>0.15*F29</f>
        <v>0.78</v>
      </c>
      <c r="H31" s="47"/>
    </row>
    <row r="32" spans="5:8" ht="12.75">
      <c r="E32" s="3"/>
      <c r="F32" s="47"/>
      <c r="G32" s="3"/>
      <c r="H32" s="47"/>
    </row>
    <row r="33" spans="1:6" ht="12.75">
      <c r="A33" t="s">
        <v>196</v>
      </c>
      <c r="E33" t="s">
        <v>159</v>
      </c>
      <c r="F33" s="171">
        <v>15</v>
      </c>
    </row>
    <row r="34" ht="12.75">
      <c r="F34" s="171"/>
    </row>
    <row r="35" spans="1:8" ht="12.75">
      <c r="A35" s="2" t="s">
        <v>169</v>
      </c>
      <c r="E35" s="3" t="s">
        <v>159</v>
      </c>
      <c r="F35" s="170">
        <f>F29+F33+F31</f>
        <v>20.98</v>
      </c>
      <c r="H35" s="47"/>
    </row>
    <row r="36" spans="6:8" ht="12.75">
      <c r="F36" s="47"/>
      <c r="H36" s="47"/>
    </row>
    <row r="37" spans="1:9" ht="12.75">
      <c r="A37" s="96" t="s">
        <v>197</v>
      </c>
      <c r="E37" t="s">
        <v>159</v>
      </c>
      <c r="F37" s="171">
        <f>F35*G6</f>
        <v>12588</v>
      </c>
      <c r="H37" t="s">
        <v>171</v>
      </c>
      <c r="I37" t="s">
        <v>172</v>
      </c>
    </row>
    <row r="39" spans="1:9" ht="12.75">
      <c r="A39" s="96" t="s">
        <v>198</v>
      </c>
      <c r="G39" s="3"/>
      <c r="H39" s="171">
        <f>SUM(I19:I27)</f>
        <v>4805</v>
      </c>
      <c r="I39" s="171">
        <f>SUM(I19:I27)</f>
        <v>4805</v>
      </c>
    </row>
    <row r="40" spans="8:9" ht="12.75">
      <c r="H40" s="171"/>
      <c r="I40" s="171"/>
    </row>
    <row r="41" spans="1:9" ht="12.75">
      <c r="A41" t="s">
        <v>174</v>
      </c>
      <c r="E41" t="s">
        <v>175</v>
      </c>
      <c r="H41" s="171">
        <f>H39+F37</f>
        <v>17393</v>
      </c>
      <c r="I41" s="171">
        <f>(F35-F33)*G6+I39</f>
        <v>8393</v>
      </c>
    </row>
    <row r="42" ht="12.75">
      <c r="I42" s="47"/>
    </row>
    <row r="43" spans="1:9" ht="12.75">
      <c r="A43" t="s">
        <v>176</v>
      </c>
      <c r="H43" s="170">
        <f>H41/G6</f>
        <v>28.988333333333333</v>
      </c>
      <c r="I43" s="170">
        <f>I41/G6</f>
        <v>13.988333333333333</v>
      </c>
    </row>
    <row r="44" spans="2:9" ht="12.75">
      <c r="B44" s="44"/>
      <c r="G44" s="3"/>
      <c r="H44" s="47"/>
      <c r="I44" s="47"/>
    </row>
    <row r="45" spans="8:9" ht="12.75">
      <c r="H45" s="47"/>
      <c r="I45" s="47"/>
    </row>
  </sheetData>
  <sheetProtection/>
  <printOptions/>
  <pageMargins left="0.75" right="0.75" top="1" bottom="1" header="0.5" footer="0.5"/>
  <pageSetup horizontalDpi="600" verticalDpi="600" orientation="landscape" scale="57" r:id="rId1"/>
  <headerFooter alignWithMargins="0">
    <oddHeader>&amp;C&amp;A</oddHeader>
    <oddFooter>&amp;L&amp;D&amp;C&amp;F&amp;R&amp;P/&amp;N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zoomScale="85" zoomScaleNormal="85" zoomScalePageLayoutView="0" workbookViewId="0" topLeftCell="D1">
      <selection activeCell="I12" sqref="I12"/>
    </sheetView>
  </sheetViews>
  <sheetFormatPr defaultColWidth="9.140625" defaultRowHeight="12.75"/>
  <cols>
    <col min="3" max="3" width="20.421875" style="0" customWidth="1"/>
    <col min="4" max="4" width="17.8515625" style="0" customWidth="1"/>
    <col min="5" max="5" width="32.57421875" style="0" customWidth="1"/>
    <col min="6" max="6" width="14.7109375" style="0" customWidth="1"/>
    <col min="7" max="7" width="11.57421875" style="0" customWidth="1"/>
    <col min="8" max="9" width="15.7109375" style="0" customWidth="1"/>
    <col min="10" max="10" width="13.7109375" style="0" customWidth="1"/>
    <col min="11" max="13" width="17.7109375" style="0" customWidth="1"/>
  </cols>
  <sheetData>
    <row r="1" spans="4:8" ht="25.5" customHeight="1" thickBot="1">
      <c r="D1" s="463" t="s">
        <v>290</v>
      </c>
      <c r="E1" s="418"/>
      <c r="F1" s="418"/>
      <c r="G1" s="418"/>
      <c r="H1" s="418"/>
    </row>
    <row r="2" spans="4:11" ht="17.25" thickBot="1" thickTop="1">
      <c r="D2" s="102"/>
      <c r="I2" s="76"/>
      <c r="J2" s="76"/>
      <c r="K2" s="76"/>
    </row>
    <row r="3" spans="1:12" ht="30.75" customHeight="1" thickBot="1">
      <c r="A3" s="76"/>
      <c r="B3" s="464" t="s">
        <v>123</v>
      </c>
      <c r="C3" s="427"/>
      <c r="D3" s="427"/>
      <c r="E3" s="428" t="s">
        <v>199</v>
      </c>
      <c r="F3" s="427"/>
      <c r="G3" s="465" t="s">
        <v>179</v>
      </c>
      <c r="H3" s="429"/>
      <c r="I3" s="425"/>
      <c r="J3" s="415"/>
      <c r="K3" s="72"/>
      <c r="L3" s="76"/>
    </row>
    <row r="4" spans="2:12" ht="15" customHeight="1" thickBot="1">
      <c r="B4" s="416"/>
      <c r="E4" s="101"/>
      <c r="G4" s="417"/>
      <c r="H4" s="97"/>
      <c r="I4" s="98"/>
      <c r="J4" s="415"/>
      <c r="K4" s="72"/>
      <c r="L4" s="76"/>
    </row>
    <row r="5" spans="3:9" ht="31.5" customHeight="1" thickBot="1">
      <c r="C5" s="430" t="s">
        <v>200</v>
      </c>
      <c r="D5" s="530" t="s">
        <v>201</v>
      </c>
      <c r="E5" s="529" t="s">
        <v>202</v>
      </c>
      <c r="F5" s="526" t="s">
        <v>288</v>
      </c>
      <c r="G5" s="527"/>
      <c r="H5" s="527"/>
      <c r="I5" s="528"/>
    </row>
    <row r="6" spans="3:10" ht="16.5" customHeight="1">
      <c r="C6" s="431"/>
      <c r="D6" s="420"/>
      <c r="E6" s="421"/>
      <c r="F6" s="432" t="s">
        <v>203</v>
      </c>
      <c r="G6" s="432"/>
      <c r="H6" s="434" t="s">
        <v>287</v>
      </c>
      <c r="I6" s="433"/>
      <c r="J6" s="76"/>
    </row>
    <row r="7" spans="3:9" ht="18.75" customHeight="1">
      <c r="C7" s="431"/>
      <c r="D7" s="423"/>
      <c r="E7" s="424"/>
      <c r="F7" s="422"/>
      <c r="G7" s="422"/>
      <c r="I7" s="79"/>
    </row>
    <row r="8" spans="3:12" ht="22.5" customHeight="1">
      <c r="C8" s="445" t="s">
        <v>165</v>
      </c>
      <c r="D8" s="446">
        <f>'5. Coûts de machinerie'!G10/'5. Coûts de machinerie'!H6</f>
        <v>27.654545454545456</v>
      </c>
      <c r="E8" s="446">
        <f>'6. Coût relatif au tracteur'!F13</f>
        <v>13.988333333333333</v>
      </c>
      <c r="F8" s="446">
        <f>'5. Coûts de machinerie'!F38/'5. Coûts de machinerie'!H6</f>
        <v>15</v>
      </c>
      <c r="G8" s="448"/>
      <c r="H8" s="454">
        <f>SUM(D8:F8)</f>
        <v>56.642878787878786</v>
      </c>
      <c r="I8" s="79"/>
      <c r="L8" s="76"/>
    </row>
    <row r="9" spans="3:9" ht="22.5" customHeight="1">
      <c r="C9" s="450" t="s">
        <v>105</v>
      </c>
      <c r="D9" s="451">
        <f>D15</f>
        <v>7.605</v>
      </c>
      <c r="E9" s="451">
        <f>E8*'5. Coûts de machinerie'!H6/'5. Coûts de machinerie'!D6</f>
        <v>3.846791666666667</v>
      </c>
      <c r="F9" s="451">
        <f>'5. Coûts de machinerie'!F38/'5. Coûts de machinerie'!D6</f>
        <v>4.125</v>
      </c>
      <c r="G9" s="448"/>
      <c r="H9" s="454">
        <f>SUM(D9:F9)</f>
        <v>15.576791666666667</v>
      </c>
      <c r="I9" s="79"/>
    </row>
    <row r="10" spans="3:9" ht="22.5" customHeight="1" thickBot="1">
      <c r="C10" s="459" t="s">
        <v>108</v>
      </c>
      <c r="D10" s="460">
        <f>'5. Coûts de machinerie'!G15</f>
        <v>1.771</v>
      </c>
      <c r="E10" s="460">
        <f>E8*'5. Coûts de machinerie'!H6/'5. Coûts de machinerie'!D7</f>
        <v>0.7693583333333334</v>
      </c>
      <c r="F10" s="460">
        <f>'5. Coûts de machinerie'!F38/'5. Coûts de machinerie'!D7</f>
        <v>0.825</v>
      </c>
      <c r="G10" s="461"/>
      <c r="H10" s="462">
        <f>SUM(D10:F10)</f>
        <v>3.365358333333333</v>
      </c>
      <c r="I10" s="79"/>
    </row>
    <row r="11" spans="3:9" ht="22.5" customHeight="1" thickBot="1" thickTop="1">
      <c r="C11" s="419"/>
      <c r="D11" s="436"/>
      <c r="E11" s="436"/>
      <c r="F11" s="436"/>
      <c r="G11" s="435"/>
      <c r="H11" s="426"/>
      <c r="I11" s="79"/>
    </row>
    <row r="12" spans="3:9" ht="22.5" customHeight="1" thickBot="1">
      <c r="C12" s="437"/>
      <c r="D12" s="438" t="s">
        <v>201</v>
      </c>
      <c r="E12" s="438" t="s">
        <v>202</v>
      </c>
      <c r="F12" s="443" t="s">
        <v>204</v>
      </c>
      <c r="G12" s="439"/>
      <c r="H12" s="444" t="s">
        <v>289</v>
      </c>
      <c r="I12" s="440"/>
    </row>
    <row r="13" spans="3:9" ht="22.5" customHeight="1">
      <c r="C13" s="419"/>
      <c r="D13" s="423"/>
      <c r="E13" s="423"/>
      <c r="G13" s="435"/>
      <c r="H13" s="441"/>
      <c r="I13" s="442"/>
    </row>
    <row r="14" spans="3:9" ht="22.5" customHeight="1">
      <c r="C14" s="445" t="s">
        <v>165</v>
      </c>
      <c r="D14" s="446">
        <f>'5. Coûts de machinerie'!G13</f>
        <v>27.654545454545456</v>
      </c>
      <c r="E14" s="446">
        <f>'6. Coût relatif au tracteur'!F13</f>
        <v>13.988333333333333</v>
      </c>
      <c r="F14" s="447">
        <v>0</v>
      </c>
      <c r="G14" s="448"/>
      <c r="H14" s="449">
        <f>D8+E14</f>
        <v>41.642878787878786</v>
      </c>
      <c r="I14" s="79"/>
    </row>
    <row r="15" spans="3:9" ht="22.5" customHeight="1" thickBot="1">
      <c r="C15" s="450" t="s">
        <v>105</v>
      </c>
      <c r="D15" s="451">
        <f>'5. Coûts de machinerie'!G14</f>
        <v>7.605</v>
      </c>
      <c r="E15" s="452">
        <f>E9</f>
        <v>3.846791666666667</v>
      </c>
      <c r="F15" s="453">
        <v>0</v>
      </c>
      <c r="G15" s="448"/>
      <c r="H15" s="454">
        <f>D9+E15</f>
        <v>11.451791666666667</v>
      </c>
      <c r="I15" s="79"/>
    </row>
    <row r="16" spans="3:9" ht="20.25" customHeight="1" thickBot="1">
      <c r="C16" s="455" t="s">
        <v>108</v>
      </c>
      <c r="D16" s="452">
        <f>D10</f>
        <v>1.771</v>
      </c>
      <c r="E16" s="452">
        <f>E10</f>
        <v>0.7693583333333334</v>
      </c>
      <c r="F16" s="456">
        <v>0</v>
      </c>
      <c r="G16" s="457"/>
      <c r="H16" s="458">
        <f>D10+E16</f>
        <v>2.5403583333333333</v>
      </c>
      <c r="I16" s="79"/>
    </row>
    <row r="17" ht="24.75" customHeight="1">
      <c r="I17" s="79"/>
    </row>
    <row r="18" spans="3:9" ht="16.5" customHeight="1">
      <c r="C18" s="79"/>
      <c r="D18" s="79"/>
      <c r="E18" s="79"/>
      <c r="F18" s="79"/>
      <c r="G18" s="79"/>
      <c r="H18" s="79"/>
      <c r="I18" s="79"/>
    </row>
    <row r="19" ht="16.5" customHeight="1">
      <c r="I19" s="79"/>
    </row>
    <row r="20" spans="1:9" ht="16.5" customHeight="1">
      <c r="A20" s="73"/>
      <c r="I20" s="79"/>
    </row>
    <row r="21" spans="1:12" s="73" customFormat="1" ht="16.5" customHeight="1">
      <c r="A21"/>
      <c r="C21" s="74"/>
      <c r="D21" s="75"/>
      <c r="E21" s="75"/>
      <c r="F21" s="75"/>
      <c r="G21" s="75"/>
      <c r="H21" s="75"/>
      <c r="I21" s="75"/>
      <c r="J21"/>
      <c r="K21"/>
      <c r="L21"/>
    </row>
  </sheetData>
  <sheetProtection/>
  <printOptions/>
  <pageMargins left="0.75" right="0.75" top="1" bottom="1" header="0.5" footer="0.5"/>
  <pageSetup horizontalDpi="600" verticalDpi="600" orientation="landscape" scale="89" r:id="rId1"/>
  <headerFooter alignWithMargins="0">
    <oddHeader>&amp;C&amp;A</oddHeader>
    <oddFooter>&amp;L&amp;D&amp;C&amp;F&amp;R&amp;P/&amp;N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OP429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47.8515625" style="0" customWidth="1"/>
    <col min="2" max="2" width="11.7109375" style="0" customWidth="1"/>
    <col min="3" max="3" width="8.140625" style="0" customWidth="1"/>
    <col min="4" max="4" width="15.140625" style="0" customWidth="1"/>
    <col min="5" max="6" width="15.00390625" style="0" bestFit="1" customWidth="1"/>
    <col min="7" max="7" width="9.8515625" style="0" bestFit="1" customWidth="1"/>
  </cols>
  <sheetData>
    <row r="1" spans="1:13926" ht="50.25" customHeight="1" thickBot="1">
      <c r="A1" s="531" t="s">
        <v>655</v>
      </c>
      <c r="B1" s="531"/>
      <c r="C1" s="531"/>
      <c r="D1" s="531"/>
      <c r="E1" s="531"/>
      <c r="F1" s="531"/>
      <c r="G1" s="531"/>
      <c r="H1" s="531"/>
    </row>
    <row r="2" ht="13.5" thickTop="1">
      <c r="A2" s="479" t="s">
        <v>661</v>
      </c>
    </row>
    <row r="3" ht="12.75">
      <c r="A3" s="477" t="s">
        <v>653</v>
      </c>
    </row>
    <row r="4" ht="25.5">
      <c r="A4" s="478" t="s">
        <v>291</v>
      </c>
    </row>
    <row r="5" ht="12.75">
      <c r="A5" s="478" t="s">
        <v>292</v>
      </c>
    </row>
    <row r="6" ht="12.75">
      <c r="A6" s="478" t="s">
        <v>292</v>
      </c>
    </row>
    <row r="7" spans="1:7" ht="12.75">
      <c r="A7" s="569" t="s">
        <v>652</v>
      </c>
      <c r="B7" s="569"/>
      <c r="C7" s="569"/>
      <c r="D7" s="569"/>
      <c r="E7" s="569"/>
      <c r="F7" s="569"/>
      <c r="G7" s="569"/>
    </row>
    <row r="8" spans="1:2" ht="15.75" customHeight="1">
      <c r="A8" s="540" t="s">
        <v>654</v>
      </c>
      <c r="B8" s="540"/>
    </row>
    <row r="9" ht="12.75">
      <c r="A9" s="477" t="s">
        <v>656</v>
      </c>
    </row>
    <row r="10" ht="15" customHeight="1">
      <c r="A10" s="477" t="s">
        <v>657</v>
      </c>
    </row>
    <row r="11" ht="12.75">
      <c r="A11" s="477" t="s">
        <v>658</v>
      </c>
    </row>
    <row r="12" ht="12.75">
      <c r="A12" s="477" t="s">
        <v>659</v>
      </c>
    </row>
    <row r="13" ht="12.75">
      <c r="A13" s="477" t="s">
        <v>660</v>
      </c>
    </row>
    <row r="15" spans="1:7" ht="12.75">
      <c r="A15" s="537"/>
      <c r="B15" s="537"/>
      <c r="C15" s="537"/>
      <c r="D15" s="537"/>
      <c r="E15" s="537"/>
      <c r="F15" s="537"/>
      <c r="G15" s="537"/>
    </row>
    <row r="16" spans="1:7" ht="12.75">
      <c r="A16" s="538"/>
      <c r="B16" s="538"/>
      <c r="C16" s="538" t="s">
        <v>293</v>
      </c>
      <c r="D16" s="538"/>
      <c r="E16" s="538"/>
      <c r="F16" s="538"/>
      <c r="G16" s="538"/>
    </row>
    <row r="17" spans="1:7" ht="12.75">
      <c r="A17" s="532"/>
      <c r="B17" s="532"/>
      <c r="C17" s="532"/>
      <c r="D17" s="559"/>
      <c r="E17" s="548" t="s">
        <v>297</v>
      </c>
      <c r="F17" s="548" t="s">
        <v>297</v>
      </c>
      <c r="G17" s="544"/>
    </row>
    <row r="18" spans="1:7" ht="12.75">
      <c r="A18" s="536"/>
      <c r="B18" s="536"/>
      <c r="C18" s="536"/>
      <c r="D18" s="563"/>
      <c r="E18" s="549"/>
      <c r="F18" s="549"/>
      <c r="G18" s="545"/>
    </row>
    <row r="19" spans="1:7" ht="12.75">
      <c r="A19" s="489" t="s">
        <v>294</v>
      </c>
      <c r="B19" s="489" t="s">
        <v>205</v>
      </c>
      <c r="C19" s="489" t="s">
        <v>295</v>
      </c>
      <c r="D19" s="543" t="s">
        <v>296</v>
      </c>
      <c r="E19" s="542" t="s">
        <v>299</v>
      </c>
      <c r="F19" s="542" t="s">
        <v>300</v>
      </c>
      <c r="G19" s="546" t="s">
        <v>298</v>
      </c>
    </row>
    <row r="20" spans="1:7" ht="12.75">
      <c r="A20" s="536"/>
      <c r="B20" s="536"/>
      <c r="C20" s="536"/>
      <c r="D20" s="563"/>
      <c r="E20" s="549"/>
      <c r="F20" s="549"/>
      <c r="G20" s="545"/>
    </row>
    <row r="21" spans="1:7" ht="12.75">
      <c r="A21" s="533"/>
      <c r="B21" s="533"/>
      <c r="C21" s="533"/>
      <c r="D21" s="561"/>
      <c r="E21" s="564"/>
      <c r="F21" s="550"/>
      <c r="G21" s="547"/>
    </row>
    <row r="22" spans="1:7" ht="12.75">
      <c r="A22" s="534" t="s">
        <v>206</v>
      </c>
      <c r="B22" s="471" t="s">
        <v>301</v>
      </c>
      <c r="C22" s="472">
        <v>151</v>
      </c>
      <c r="D22" s="472" t="s">
        <v>302</v>
      </c>
      <c r="E22" s="496" t="s">
        <v>303</v>
      </c>
      <c r="F22" s="496" t="s">
        <v>304</v>
      </c>
      <c r="G22" s="496" t="s">
        <v>305</v>
      </c>
    </row>
    <row r="23" spans="1:7" ht="12.75">
      <c r="A23" s="535"/>
      <c r="B23" s="471" t="s">
        <v>207</v>
      </c>
      <c r="C23" s="472">
        <v>100</v>
      </c>
      <c r="D23" s="472" t="s">
        <v>306</v>
      </c>
      <c r="E23" s="472" t="s">
        <v>307</v>
      </c>
      <c r="F23" s="472" t="s">
        <v>308</v>
      </c>
      <c r="G23" s="472" t="s">
        <v>309</v>
      </c>
    </row>
    <row r="24" spans="1:7" ht="12.75">
      <c r="A24" s="534" t="s">
        <v>310</v>
      </c>
      <c r="B24" s="471" t="s">
        <v>301</v>
      </c>
      <c r="C24" s="472">
        <v>105</v>
      </c>
      <c r="D24" s="472" t="s">
        <v>311</v>
      </c>
      <c r="E24" s="472" t="s">
        <v>312</v>
      </c>
      <c r="F24" s="472" t="s">
        <v>313</v>
      </c>
      <c r="G24" s="472" t="s">
        <v>314</v>
      </c>
    </row>
    <row r="25" spans="1:7" ht="12.75">
      <c r="A25" s="535"/>
      <c r="B25" s="471" t="s">
        <v>207</v>
      </c>
      <c r="C25" s="472">
        <v>63</v>
      </c>
      <c r="D25" s="472" t="s">
        <v>315</v>
      </c>
      <c r="E25" s="472" t="s">
        <v>316</v>
      </c>
      <c r="F25" s="472" t="s">
        <v>317</v>
      </c>
      <c r="G25" s="472" t="s">
        <v>318</v>
      </c>
    </row>
    <row r="26" spans="1:7" ht="12.75">
      <c r="A26" s="534" t="s">
        <v>319</v>
      </c>
      <c r="B26" s="471" t="s">
        <v>301</v>
      </c>
      <c r="C26" s="472">
        <v>74</v>
      </c>
      <c r="D26" s="472" t="s">
        <v>320</v>
      </c>
      <c r="E26" s="472" t="s">
        <v>321</v>
      </c>
      <c r="F26" s="472" t="s">
        <v>314</v>
      </c>
      <c r="G26" s="472" t="s">
        <v>322</v>
      </c>
    </row>
    <row r="27" spans="1:7" ht="12.75">
      <c r="A27" s="535"/>
      <c r="B27" s="471" t="s">
        <v>207</v>
      </c>
      <c r="C27" s="472">
        <v>44</v>
      </c>
      <c r="D27" s="472" t="s">
        <v>323</v>
      </c>
      <c r="E27" s="472" t="s">
        <v>324</v>
      </c>
      <c r="F27" s="472" t="s">
        <v>325</v>
      </c>
      <c r="G27" s="472" t="s">
        <v>326</v>
      </c>
    </row>
    <row r="28" spans="1:7" ht="12.75">
      <c r="A28" s="534" t="s">
        <v>327</v>
      </c>
      <c r="B28" s="471" t="s">
        <v>301</v>
      </c>
      <c r="C28" s="472">
        <v>53</v>
      </c>
      <c r="D28" s="472" t="s">
        <v>322</v>
      </c>
      <c r="E28" s="472" t="s">
        <v>328</v>
      </c>
      <c r="F28" s="472" t="s">
        <v>312</v>
      </c>
      <c r="G28" s="472"/>
    </row>
    <row r="29" spans="1:7" ht="12.75">
      <c r="A29" s="535"/>
      <c r="B29" s="471" t="s">
        <v>207</v>
      </c>
      <c r="C29" s="472">
        <v>34</v>
      </c>
      <c r="D29" s="472" t="s">
        <v>329</v>
      </c>
      <c r="E29" s="472" t="s">
        <v>330</v>
      </c>
      <c r="F29" s="472" t="s">
        <v>331</v>
      </c>
      <c r="G29" s="472"/>
    </row>
    <row r="30" spans="1:7" ht="12.75">
      <c r="A30" s="534" t="s">
        <v>46</v>
      </c>
      <c r="B30" s="471" t="s">
        <v>301</v>
      </c>
      <c r="C30" s="472">
        <v>168</v>
      </c>
      <c r="D30" s="472" t="s">
        <v>332</v>
      </c>
      <c r="E30" s="472" t="s">
        <v>333</v>
      </c>
      <c r="F30" s="472" t="s">
        <v>320</v>
      </c>
      <c r="G30" s="472" t="s">
        <v>332</v>
      </c>
    </row>
    <row r="31" spans="1:7" ht="12.75">
      <c r="A31" s="535"/>
      <c r="B31" s="471" t="s">
        <v>207</v>
      </c>
      <c r="C31" s="472">
        <v>98</v>
      </c>
      <c r="D31" s="472" t="s">
        <v>334</v>
      </c>
      <c r="E31" s="472" t="s">
        <v>335</v>
      </c>
      <c r="F31" s="472" t="s">
        <v>336</v>
      </c>
      <c r="G31" s="472" t="s">
        <v>337</v>
      </c>
    </row>
    <row r="32" spans="1:7" ht="12.75">
      <c r="A32" s="534" t="s">
        <v>338</v>
      </c>
      <c r="B32" s="471" t="s">
        <v>301</v>
      </c>
      <c r="C32" s="472">
        <v>10</v>
      </c>
      <c r="D32" s="472" t="s">
        <v>333</v>
      </c>
      <c r="E32" s="472" t="s">
        <v>339</v>
      </c>
      <c r="F32" s="472" t="s">
        <v>321</v>
      </c>
      <c r="G32" s="472"/>
    </row>
    <row r="33" spans="1:7" ht="12.75">
      <c r="A33" s="535"/>
      <c r="B33" s="471" t="s">
        <v>207</v>
      </c>
      <c r="C33" s="472">
        <v>5</v>
      </c>
      <c r="D33" s="472" t="s">
        <v>340</v>
      </c>
      <c r="E33" s="472"/>
      <c r="F33" s="472"/>
      <c r="G33" s="472"/>
    </row>
    <row r="34" spans="1:7" ht="12.75">
      <c r="A34" s="534" t="s">
        <v>341</v>
      </c>
      <c r="B34" s="471" t="s">
        <v>301</v>
      </c>
      <c r="C34" s="472">
        <v>36</v>
      </c>
      <c r="D34" s="472" t="s">
        <v>313</v>
      </c>
      <c r="E34" s="472" t="s">
        <v>314</v>
      </c>
      <c r="F34" s="472" t="s">
        <v>342</v>
      </c>
      <c r="G34" s="472" t="s">
        <v>343</v>
      </c>
    </row>
    <row r="35" spans="1:7" ht="12.75">
      <c r="A35" s="535"/>
      <c r="B35" s="471" t="s">
        <v>207</v>
      </c>
      <c r="C35" s="472">
        <v>22</v>
      </c>
      <c r="D35" s="472" t="s">
        <v>344</v>
      </c>
      <c r="E35" s="472" t="s">
        <v>345</v>
      </c>
      <c r="F35" s="472" t="s">
        <v>346</v>
      </c>
      <c r="G35" s="472" t="s">
        <v>347</v>
      </c>
    </row>
    <row r="36" spans="1:7" ht="12.75">
      <c r="A36" s="534" t="s">
        <v>348</v>
      </c>
      <c r="B36" s="471" t="s">
        <v>301</v>
      </c>
      <c r="C36" s="472">
        <v>51</v>
      </c>
      <c r="D36" s="472" t="s">
        <v>349</v>
      </c>
      <c r="E36" s="472" t="s">
        <v>350</v>
      </c>
      <c r="F36" s="472" t="s">
        <v>328</v>
      </c>
      <c r="G36" s="472" t="s">
        <v>351</v>
      </c>
    </row>
    <row r="37" spans="1:7" ht="12.75">
      <c r="A37" s="535"/>
      <c r="B37" s="471" t="s">
        <v>207</v>
      </c>
      <c r="C37" s="472">
        <v>15</v>
      </c>
      <c r="D37" s="472" t="s">
        <v>352</v>
      </c>
      <c r="E37" s="472" t="s">
        <v>353</v>
      </c>
      <c r="F37" s="472" t="s">
        <v>354</v>
      </c>
      <c r="G37" s="472"/>
    </row>
    <row r="38" spans="1:7" ht="12.75">
      <c r="A38" s="534" t="s">
        <v>355</v>
      </c>
      <c r="B38" s="471" t="s">
        <v>301</v>
      </c>
      <c r="C38" s="472">
        <v>21</v>
      </c>
      <c r="D38" s="472" t="s">
        <v>322</v>
      </c>
      <c r="E38" s="472" t="s">
        <v>328</v>
      </c>
      <c r="F38" s="472" t="s">
        <v>314</v>
      </c>
      <c r="G38" s="472"/>
    </row>
    <row r="39" spans="1:7" ht="12.75">
      <c r="A39" s="535"/>
      <c r="B39" s="471" t="s">
        <v>207</v>
      </c>
      <c r="C39" s="472">
        <v>9</v>
      </c>
      <c r="D39" s="472" t="s">
        <v>356</v>
      </c>
      <c r="E39" s="472" t="s">
        <v>357</v>
      </c>
      <c r="F39" s="472" t="s">
        <v>358</v>
      </c>
      <c r="G39" s="472"/>
    </row>
    <row r="40" spans="1:7" ht="12.75">
      <c r="A40" s="541"/>
      <c r="B40" s="541"/>
      <c r="C40" s="541"/>
      <c r="D40" s="541"/>
      <c r="E40" s="557"/>
      <c r="F40" s="557"/>
      <c r="G40" s="541"/>
    </row>
    <row r="41" spans="1:7" ht="12.75">
      <c r="A41" s="532"/>
      <c r="B41" s="532"/>
      <c r="C41" s="532"/>
      <c r="D41" s="559"/>
      <c r="E41" s="548" t="s">
        <v>297</v>
      </c>
      <c r="F41" s="548" t="s">
        <v>297</v>
      </c>
      <c r="G41" s="560"/>
    </row>
    <row r="42" spans="1:7" ht="12.75">
      <c r="A42" s="489" t="s">
        <v>359</v>
      </c>
      <c r="B42" s="489" t="s">
        <v>205</v>
      </c>
      <c r="C42" s="489" t="s">
        <v>295</v>
      </c>
      <c r="D42" s="543" t="s">
        <v>296</v>
      </c>
      <c r="E42" s="549"/>
      <c r="F42" s="549"/>
      <c r="G42" s="555" t="s">
        <v>298</v>
      </c>
    </row>
    <row r="43" spans="1:7" ht="12.75">
      <c r="A43" s="533"/>
      <c r="B43" s="533"/>
      <c r="C43" s="533"/>
      <c r="D43" s="561"/>
      <c r="E43" s="558" t="s">
        <v>360</v>
      </c>
      <c r="F43" s="558" t="s">
        <v>361</v>
      </c>
      <c r="G43" s="562"/>
    </row>
    <row r="44" spans="1:7" ht="12.75">
      <c r="A44" s="470" t="s">
        <v>362</v>
      </c>
      <c r="B44" s="494" t="s">
        <v>301</v>
      </c>
      <c r="C44" s="494">
        <v>56</v>
      </c>
      <c r="D44" s="494" t="s">
        <v>314</v>
      </c>
      <c r="E44" s="495" t="s">
        <v>320</v>
      </c>
      <c r="F44" s="495" t="s">
        <v>305</v>
      </c>
      <c r="G44" s="494" t="s">
        <v>314</v>
      </c>
    </row>
    <row r="45" spans="1:7" ht="12.75">
      <c r="A45" s="467"/>
      <c r="B45" s="495"/>
      <c r="C45" s="495"/>
      <c r="D45" s="495"/>
      <c r="E45" s="495"/>
      <c r="F45" s="495"/>
      <c r="G45" s="495"/>
    </row>
    <row r="46" spans="1:7" ht="12.75">
      <c r="A46" s="466" t="s">
        <v>363</v>
      </c>
      <c r="B46" s="493"/>
      <c r="C46" s="493"/>
      <c r="D46" s="493"/>
      <c r="E46" s="493"/>
      <c r="F46" s="493"/>
      <c r="G46" s="493"/>
    </row>
    <row r="47" spans="1:7" ht="12.75">
      <c r="A47" s="469"/>
      <c r="B47" s="472" t="s">
        <v>207</v>
      </c>
      <c r="C47" s="472">
        <v>33</v>
      </c>
      <c r="D47" s="472" t="s">
        <v>364</v>
      </c>
      <c r="E47" s="472" t="s">
        <v>365</v>
      </c>
      <c r="F47" s="472" t="s">
        <v>366</v>
      </c>
      <c r="G47" s="472"/>
    </row>
    <row r="48" spans="1:7" ht="12.75">
      <c r="A48" s="470" t="s">
        <v>362</v>
      </c>
      <c r="B48" s="494" t="s">
        <v>301</v>
      </c>
      <c r="C48" s="494">
        <v>15</v>
      </c>
      <c r="D48" s="494" t="s">
        <v>303</v>
      </c>
      <c r="E48" s="494" t="s">
        <v>320</v>
      </c>
      <c r="F48" s="494" t="s">
        <v>305</v>
      </c>
      <c r="G48" s="494" t="s">
        <v>312</v>
      </c>
    </row>
    <row r="49" spans="1:7" ht="12.75">
      <c r="A49" s="467"/>
      <c r="B49" s="495"/>
      <c r="C49" s="495"/>
      <c r="D49" s="495"/>
      <c r="E49" s="495"/>
      <c r="F49" s="495"/>
      <c r="G49" s="495"/>
    </row>
    <row r="50" spans="1:7" ht="12.75">
      <c r="A50" s="473" t="s">
        <v>367</v>
      </c>
      <c r="B50" s="496"/>
      <c r="C50" s="496"/>
      <c r="D50" s="496"/>
      <c r="E50" s="496"/>
      <c r="F50" s="496"/>
      <c r="G50" s="496"/>
    </row>
    <row r="51" spans="1:7" ht="12.75">
      <c r="A51" s="469"/>
      <c r="B51" s="472" t="s">
        <v>207</v>
      </c>
      <c r="C51" s="472">
        <v>4</v>
      </c>
      <c r="D51" s="472" t="s">
        <v>368</v>
      </c>
      <c r="E51" s="472"/>
      <c r="F51" s="472"/>
      <c r="G51" s="472"/>
    </row>
    <row r="52" spans="1:7" ht="12.75">
      <c r="A52" s="470" t="s">
        <v>369</v>
      </c>
      <c r="B52" s="494" t="s">
        <v>301</v>
      </c>
      <c r="C52" s="494">
        <v>63</v>
      </c>
      <c r="D52" s="494" t="s">
        <v>302</v>
      </c>
      <c r="E52" s="494" t="s">
        <v>305</v>
      </c>
      <c r="F52" s="494" t="s">
        <v>313</v>
      </c>
      <c r="G52" s="494" t="s">
        <v>302</v>
      </c>
    </row>
    <row r="53" spans="1:7" ht="12.75">
      <c r="A53" s="467"/>
      <c r="B53" s="495"/>
      <c r="C53" s="495"/>
      <c r="D53" s="495"/>
      <c r="E53" s="495"/>
      <c r="F53" s="495"/>
      <c r="G53" s="495"/>
    </row>
    <row r="54" spans="1:7" ht="12.75">
      <c r="A54" s="466" t="s">
        <v>370</v>
      </c>
      <c r="B54" s="496"/>
      <c r="C54" s="496"/>
      <c r="D54" s="496"/>
      <c r="E54" s="496"/>
      <c r="F54" s="496"/>
      <c r="G54" s="496"/>
    </row>
    <row r="55" spans="1:7" ht="12.75">
      <c r="A55" s="469"/>
      <c r="B55" s="472" t="s">
        <v>207</v>
      </c>
      <c r="C55" s="472">
        <v>37</v>
      </c>
      <c r="D55" s="472" t="s">
        <v>371</v>
      </c>
      <c r="E55" s="472" t="s">
        <v>372</v>
      </c>
      <c r="F55" s="472" t="s">
        <v>373</v>
      </c>
      <c r="G55" s="472"/>
    </row>
    <row r="56" spans="1:7" ht="12.75">
      <c r="A56" s="470" t="s">
        <v>369</v>
      </c>
      <c r="B56" s="494" t="s">
        <v>301</v>
      </c>
      <c r="C56" s="494">
        <v>6</v>
      </c>
      <c r="D56" s="494" t="s">
        <v>313</v>
      </c>
      <c r="E56" s="494"/>
      <c r="F56" s="494"/>
      <c r="G56" s="494" t="s">
        <v>302</v>
      </c>
    </row>
    <row r="57" spans="1:7" ht="12.75">
      <c r="A57" s="467"/>
      <c r="B57" s="495"/>
      <c r="C57" s="495"/>
      <c r="D57" s="495"/>
      <c r="E57" s="495"/>
      <c r="F57" s="495"/>
      <c r="G57" s="495"/>
    </row>
    <row r="58" spans="1:7" ht="12.75">
      <c r="A58" s="466" t="s">
        <v>367</v>
      </c>
      <c r="B58" s="495"/>
      <c r="C58" s="495"/>
      <c r="D58" s="495"/>
      <c r="E58" s="495"/>
      <c r="F58" s="495"/>
      <c r="G58" s="495"/>
    </row>
    <row r="59" spans="1:7" ht="12.75">
      <c r="A59" s="468"/>
      <c r="B59" s="496"/>
      <c r="C59" s="496"/>
      <c r="D59" s="496"/>
      <c r="E59" s="496"/>
      <c r="F59" s="496"/>
      <c r="G59" s="496"/>
    </row>
    <row r="60" spans="1:7" ht="12.75">
      <c r="A60" s="532" t="s">
        <v>374</v>
      </c>
      <c r="B60" s="472" t="s">
        <v>301</v>
      </c>
      <c r="C60" s="472">
        <v>43</v>
      </c>
      <c r="D60" s="472" t="s">
        <v>312</v>
      </c>
      <c r="E60" s="472" t="s">
        <v>320</v>
      </c>
      <c r="F60" s="472" t="s">
        <v>311</v>
      </c>
      <c r="G60" s="474">
        <v>13</v>
      </c>
    </row>
    <row r="61" spans="1:7" ht="12.75">
      <c r="A61" s="533"/>
      <c r="B61" s="472" t="s">
        <v>207</v>
      </c>
      <c r="C61" s="472">
        <v>21</v>
      </c>
      <c r="D61" s="472" t="s">
        <v>375</v>
      </c>
      <c r="E61" s="472" t="s">
        <v>376</v>
      </c>
      <c r="F61" s="472" t="s">
        <v>377</v>
      </c>
      <c r="G61" s="472"/>
    </row>
    <row r="62" spans="1:7" ht="12.75">
      <c r="A62" s="532" t="s">
        <v>378</v>
      </c>
      <c r="B62" s="472" t="s">
        <v>301</v>
      </c>
      <c r="C62" s="472">
        <v>139</v>
      </c>
      <c r="D62" s="472" t="s">
        <v>313</v>
      </c>
      <c r="E62" s="472" t="s">
        <v>305</v>
      </c>
      <c r="F62" s="472" t="s">
        <v>304</v>
      </c>
      <c r="G62" s="472" t="s">
        <v>302</v>
      </c>
    </row>
    <row r="63" spans="1:7" ht="12.75">
      <c r="A63" s="533"/>
      <c r="B63" s="472" t="s">
        <v>207</v>
      </c>
      <c r="C63" s="472">
        <v>83</v>
      </c>
      <c r="D63" s="472" t="s">
        <v>379</v>
      </c>
      <c r="E63" s="472" t="s">
        <v>380</v>
      </c>
      <c r="F63" s="472" t="s">
        <v>381</v>
      </c>
      <c r="G63" s="472"/>
    </row>
    <row r="64" spans="1:7" ht="12.75">
      <c r="A64" s="491" t="s">
        <v>382</v>
      </c>
      <c r="B64" s="494" t="s">
        <v>301</v>
      </c>
      <c r="C64" s="494">
        <v>20</v>
      </c>
      <c r="D64" s="494" t="s">
        <v>302</v>
      </c>
      <c r="E64" s="494" t="s">
        <v>314</v>
      </c>
      <c r="F64" s="494" t="s">
        <v>343</v>
      </c>
      <c r="G64" s="494" t="s">
        <v>305</v>
      </c>
    </row>
    <row r="65" spans="1:7" ht="12.75">
      <c r="A65" s="467"/>
      <c r="B65" s="495"/>
      <c r="C65" s="495"/>
      <c r="D65" s="495"/>
      <c r="E65" s="495"/>
      <c r="F65" s="495"/>
      <c r="G65" s="495"/>
    </row>
    <row r="66" spans="1:7" ht="12.75">
      <c r="A66" s="473" t="s">
        <v>383</v>
      </c>
      <c r="B66" s="496"/>
      <c r="C66" s="496"/>
      <c r="D66" s="496"/>
      <c r="E66" s="496"/>
      <c r="F66" s="496"/>
      <c r="G66" s="496"/>
    </row>
    <row r="67" spans="1:7" ht="12.75">
      <c r="A67" s="469"/>
      <c r="B67" s="472" t="s">
        <v>207</v>
      </c>
      <c r="C67" s="472">
        <v>15</v>
      </c>
      <c r="D67" s="472" t="s">
        <v>384</v>
      </c>
      <c r="E67" s="472" t="s">
        <v>385</v>
      </c>
      <c r="F67" s="472" t="s">
        <v>386</v>
      </c>
      <c r="G67" s="472"/>
    </row>
    <row r="68" spans="1:7" ht="12.75">
      <c r="A68" s="470" t="s">
        <v>382</v>
      </c>
      <c r="B68" s="494" t="s">
        <v>301</v>
      </c>
      <c r="C68" s="494">
        <v>32</v>
      </c>
      <c r="D68" s="494" t="s">
        <v>313</v>
      </c>
      <c r="E68" s="494" t="s">
        <v>305</v>
      </c>
      <c r="F68" s="494" t="s">
        <v>304</v>
      </c>
      <c r="G68" s="494" t="s">
        <v>302</v>
      </c>
    </row>
    <row r="69" spans="1:7" ht="12.75">
      <c r="A69" s="467"/>
      <c r="B69" s="495"/>
      <c r="C69" s="495"/>
      <c r="D69" s="495"/>
      <c r="E69" s="495"/>
      <c r="F69" s="495"/>
      <c r="G69" s="495"/>
    </row>
    <row r="70" spans="1:7" ht="12.75">
      <c r="A70" s="473" t="s">
        <v>387</v>
      </c>
      <c r="B70" s="496"/>
      <c r="C70" s="496"/>
      <c r="D70" s="496"/>
      <c r="E70" s="496"/>
      <c r="F70" s="496"/>
      <c r="G70" s="496"/>
    </row>
    <row r="71" spans="1:7" ht="12.75">
      <c r="A71" s="469"/>
      <c r="B71" s="472" t="s">
        <v>207</v>
      </c>
      <c r="C71" s="472">
        <v>18</v>
      </c>
      <c r="D71" s="472" t="s">
        <v>388</v>
      </c>
      <c r="E71" s="472" t="s">
        <v>389</v>
      </c>
      <c r="F71" s="472" t="s">
        <v>390</v>
      </c>
      <c r="G71" s="472"/>
    </row>
    <row r="72" spans="1:7" ht="12.75">
      <c r="A72" s="541"/>
      <c r="B72" s="541"/>
      <c r="C72" s="541"/>
      <c r="D72" s="541"/>
      <c r="E72" s="557"/>
      <c r="F72" s="557"/>
      <c r="G72" s="541"/>
    </row>
    <row r="73" spans="1:7" ht="12.75">
      <c r="A73" s="532"/>
      <c r="B73" s="532"/>
      <c r="C73" s="532"/>
      <c r="D73" s="559"/>
      <c r="E73" s="548" t="s">
        <v>297</v>
      </c>
      <c r="F73" s="548" t="s">
        <v>297</v>
      </c>
      <c r="G73" s="560"/>
    </row>
    <row r="74" spans="1:7" ht="12.75">
      <c r="A74" s="489" t="s">
        <v>391</v>
      </c>
      <c r="B74" s="489" t="s">
        <v>205</v>
      </c>
      <c r="C74" s="489" t="s">
        <v>295</v>
      </c>
      <c r="D74" s="543" t="s">
        <v>296</v>
      </c>
      <c r="E74" s="549"/>
      <c r="F74" s="549"/>
      <c r="G74" s="555" t="s">
        <v>298</v>
      </c>
    </row>
    <row r="75" spans="1:7" ht="12.75">
      <c r="A75" s="490"/>
      <c r="B75" s="490"/>
      <c r="C75" s="490"/>
      <c r="D75" s="539"/>
      <c r="E75" s="558" t="s">
        <v>299</v>
      </c>
      <c r="F75" s="558" t="s">
        <v>300</v>
      </c>
      <c r="G75" s="556"/>
    </row>
    <row r="76" spans="1:7" ht="12.75">
      <c r="A76" s="470" t="s">
        <v>362</v>
      </c>
      <c r="B76" s="494" t="s">
        <v>301</v>
      </c>
      <c r="C76" s="494">
        <v>23</v>
      </c>
      <c r="D76" s="494" t="s">
        <v>303</v>
      </c>
      <c r="E76" s="495" t="s">
        <v>312</v>
      </c>
      <c r="F76" s="495" t="s">
        <v>313</v>
      </c>
      <c r="G76" s="494" t="s">
        <v>311</v>
      </c>
    </row>
    <row r="77" spans="1:7" ht="12.75">
      <c r="A77" s="467"/>
      <c r="B77" s="495"/>
      <c r="C77" s="495"/>
      <c r="D77" s="495"/>
      <c r="E77" s="495"/>
      <c r="F77" s="495"/>
      <c r="G77" s="495"/>
    </row>
    <row r="78" spans="1:7" ht="25.5">
      <c r="A78" s="473" t="s">
        <v>392</v>
      </c>
      <c r="B78" s="496"/>
      <c r="C78" s="496"/>
      <c r="D78" s="496"/>
      <c r="E78" s="496"/>
      <c r="F78" s="496"/>
      <c r="G78" s="496"/>
    </row>
    <row r="79" spans="1:7" ht="12.75">
      <c r="A79" s="469"/>
      <c r="B79" s="472" t="s">
        <v>207</v>
      </c>
      <c r="C79" s="472">
        <v>13</v>
      </c>
      <c r="D79" s="472" t="s">
        <v>377</v>
      </c>
      <c r="E79" s="472" t="s">
        <v>393</v>
      </c>
      <c r="F79" s="472" t="s">
        <v>394</v>
      </c>
      <c r="G79" s="472"/>
    </row>
    <row r="80" spans="1:7" ht="12.75">
      <c r="A80" s="470" t="s">
        <v>362</v>
      </c>
      <c r="B80" s="494" t="s">
        <v>301</v>
      </c>
      <c r="C80" s="494">
        <v>39</v>
      </c>
      <c r="D80" s="494" t="s">
        <v>314</v>
      </c>
      <c r="E80" s="494" t="s">
        <v>320</v>
      </c>
      <c r="F80" s="494" t="s">
        <v>311</v>
      </c>
      <c r="G80" s="494"/>
    </row>
    <row r="81" spans="1:7" ht="12.75">
      <c r="A81" s="467"/>
      <c r="B81" s="495"/>
      <c r="C81" s="495"/>
      <c r="D81" s="495"/>
      <c r="E81" s="495"/>
      <c r="F81" s="495"/>
      <c r="G81" s="495"/>
    </row>
    <row r="82" spans="1:7" ht="25.5">
      <c r="A82" s="473" t="s">
        <v>395</v>
      </c>
      <c r="B82" s="496"/>
      <c r="C82" s="496"/>
      <c r="D82" s="496"/>
      <c r="E82" s="496"/>
      <c r="F82" s="496"/>
      <c r="G82" s="496"/>
    </row>
    <row r="83" spans="1:7" ht="12.75">
      <c r="A83" s="469"/>
      <c r="B83" s="472" t="s">
        <v>207</v>
      </c>
      <c r="C83" s="472">
        <v>16</v>
      </c>
      <c r="D83" s="472" t="s">
        <v>396</v>
      </c>
      <c r="E83" s="472" t="s">
        <v>397</v>
      </c>
      <c r="F83" s="472" t="s">
        <v>336</v>
      </c>
      <c r="G83" s="472"/>
    </row>
    <row r="84" spans="1:7" ht="12.75">
      <c r="A84" s="470" t="s">
        <v>362</v>
      </c>
      <c r="B84" s="494" t="s">
        <v>301</v>
      </c>
      <c r="C84" s="494">
        <v>111</v>
      </c>
      <c r="D84" s="494" t="s">
        <v>314</v>
      </c>
      <c r="E84" s="494" t="s">
        <v>320</v>
      </c>
      <c r="F84" s="494" t="s">
        <v>305</v>
      </c>
      <c r="G84" s="494" t="s">
        <v>312</v>
      </c>
    </row>
    <row r="85" spans="1:7" ht="12.75">
      <c r="A85" s="467"/>
      <c r="B85" s="495"/>
      <c r="C85" s="495"/>
      <c r="D85" s="495"/>
      <c r="E85" s="495"/>
      <c r="F85" s="495"/>
      <c r="G85" s="495"/>
    </row>
    <row r="86" spans="1:7" ht="12.75">
      <c r="A86" s="473" t="s">
        <v>367</v>
      </c>
      <c r="B86" s="495"/>
      <c r="C86" s="495"/>
      <c r="D86" s="495"/>
      <c r="E86" s="495"/>
      <c r="F86" s="495"/>
      <c r="G86" s="495"/>
    </row>
    <row r="87" spans="1:7" ht="12.75">
      <c r="A87" s="473" t="s">
        <v>398</v>
      </c>
      <c r="B87" s="496"/>
      <c r="C87" s="496"/>
      <c r="D87" s="496"/>
      <c r="E87" s="496"/>
      <c r="F87" s="496"/>
      <c r="G87" s="496"/>
    </row>
    <row r="88" spans="1:7" ht="12.75">
      <c r="A88" s="468"/>
      <c r="B88" s="472" t="s">
        <v>207</v>
      </c>
      <c r="C88" s="472">
        <v>74</v>
      </c>
      <c r="D88" s="472" t="s">
        <v>399</v>
      </c>
      <c r="E88" s="472" t="s">
        <v>345</v>
      </c>
      <c r="F88" s="472" t="s">
        <v>331</v>
      </c>
      <c r="G88" s="472"/>
    </row>
    <row r="89" spans="1:7" ht="12.75">
      <c r="A89" s="470" t="s">
        <v>362</v>
      </c>
      <c r="B89" s="494" t="s">
        <v>301</v>
      </c>
      <c r="C89" s="494">
        <v>19</v>
      </c>
      <c r="D89" s="494" t="s">
        <v>314</v>
      </c>
      <c r="E89" s="494" t="s">
        <v>320</v>
      </c>
      <c r="F89" s="494" t="s">
        <v>311</v>
      </c>
      <c r="G89" s="494"/>
    </row>
    <row r="90" spans="1:7" ht="12.75">
      <c r="A90" s="467"/>
      <c r="B90" s="495"/>
      <c r="C90" s="495"/>
      <c r="D90" s="495"/>
      <c r="E90" s="495"/>
      <c r="F90" s="495"/>
      <c r="G90" s="495"/>
    </row>
    <row r="91" spans="1:7" ht="12.75">
      <c r="A91" s="473" t="s">
        <v>367</v>
      </c>
      <c r="B91" s="495"/>
      <c r="C91" s="495"/>
      <c r="D91" s="495"/>
      <c r="E91" s="495"/>
      <c r="F91" s="495"/>
      <c r="G91" s="495"/>
    </row>
    <row r="92" spans="1:7" ht="12.75">
      <c r="A92" s="473" t="s">
        <v>400</v>
      </c>
      <c r="B92" s="496"/>
      <c r="C92" s="496"/>
      <c r="D92" s="496"/>
      <c r="E92" s="496"/>
      <c r="F92" s="496"/>
      <c r="G92" s="496"/>
    </row>
    <row r="93" spans="1:7" ht="12.75">
      <c r="A93" s="469"/>
      <c r="B93" s="472" t="s">
        <v>207</v>
      </c>
      <c r="C93" s="472">
        <v>11</v>
      </c>
      <c r="D93" s="472" t="s">
        <v>379</v>
      </c>
      <c r="E93" s="472" t="s">
        <v>397</v>
      </c>
      <c r="F93" s="472" t="s">
        <v>401</v>
      </c>
      <c r="G93" s="472"/>
    </row>
    <row r="94" spans="1:7" ht="12.75">
      <c r="A94" s="470" t="s">
        <v>369</v>
      </c>
      <c r="B94" s="494" t="s">
        <v>301</v>
      </c>
      <c r="C94" s="494">
        <v>13</v>
      </c>
      <c r="D94" s="494" t="s">
        <v>313</v>
      </c>
      <c r="E94" s="494" t="s">
        <v>303</v>
      </c>
      <c r="F94" s="494" t="s">
        <v>342</v>
      </c>
      <c r="G94" s="494" t="s">
        <v>302</v>
      </c>
    </row>
    <row r="95" spans="1:7" ht="12.75">
      <c r="A95" s="467"/>
      <c r="B95" s="495"/>
      <c r="C95" s="495"/>
      <c r="D95" s="495"/>
      <c r="E95" s="495"/>
      <c r="F95" s="495"/>
      <c r="G95" s="495"/>
    </row>
    <row r="96" spans="1:7" ht="25.5">
      <c r="A96" s="466" t="s">
        <v>392</v>
      </c>
      <c r="B96" s="496"/>
      <c r="C96" s="496"/>
      <c r="D96" s="496"/>
      <c r="E96" s="496"/>
      <c r="F96" s="496"/>
      <c r="G96" s="496"/>
    </row>
    <row r="97" spans="1:7" ht="12.75">
      <c r="A97" s="469"/>
      <c r="B97" s="472" t="s">
        <v>207</v>
      </c>
      <c r="C97" s="472">
        <v>10</v>
      </c>
      <c r="D97" s="472" t="s">
        <v>402</v>
      </c>
      <c r="E97" s="472" t="s">
        <v>358</v>
      </c>
      <c r="F97" s="472" t="s">
        <v>403</v>
      </c>
      <c r="G97" s="472"/>
    </row>
    <row r="98" spans="1:7" ht="12.75">
      <c r="A98" s="470" t="s">
        <v>369</v>
      </c>
      <c r="B98" s="494" t="s">
        <v>301</v>
      </c>
      <c r="C98" s="494">
        <v>5</v>
      </c>
      <c r="D98" s="494" t="s">
        <v>302</v>
      </c>
      <c r="E98" s="494"/>
      <c r="F98" s="494"/>
      <c r="G98" s="494"/>
    </row>
    <row r="99" spans="1:7" ht="12.75">
      <c r="A99" s="467"/>
      <c r="B99" s="495"/>
      <c r="C99" s="495"/>
      <c r="D99" s="495"/>
      <c r="E99" s="495"/>
      <c r="F99" s="495"/>
      <c r="G99" s="495"/>
    </row>
    <row r="100" spans="1:7" ht="25.5">
      <c r="A100" s="473" t="s">
        <v>395</v>
      </c>
      <c r="B100" s="495"/>
      <c r="C100" s="495"/>
      <c r="D100" s="495"/>
      <c r="E100" s="495"/>
      <c r="F100" s="495"/>
      <c r="G100" s="495"/>
    </row>
    <row r="101" spans="1:7" ht="12.75">
      <c r="A101" s="469"/>
      <c r="B101" s="496"/>
      <c r="C101" s="496"/>
      <c r="D101" s="496"/>
      <c r="E101" s="496"/>
      <c r="F101" s="496"/>
      <c r="G101" s="496"/>
    </row>
    <row r="102" spans="1:7" ht="12.75">
      <c r="A102" s="470" t="s">
        <v>369</v>
      </c>
      <c r="B102" s="494" t="s">
        <v>301</v>
      </c>
      <c r="C102" s="494">
        <v>42</v>
      </c>
      <c r="D102" s="494" t="s">
        <v>343</v>
      </c>
      <c r="E102" s="494" t="s">
        <v>311</v>
      </c>
      <c r="F102" s="494" t="s">
        <v>342</v>
      </c>
      <c r="G102" s="494" t="s">
        <v>313</v>
      </c>
    </row>
    <row r="103" spans="1:7" ht="12.75">
      <c r="A103" s="467"/>
      <c r="B103" s="495"/>
      <c r="C103" s="495"/>
      <c r="D103" s="495"/>
      <c r="E103" s="495"/>
      <c r="F103" s="495"/>
      <c r="G103" s="495"/>
    </row>
    <row r="104" spans="1:7" ht="12.75">
      <c r="A104" s="473" t="s">
        <v>367</v>
      </c>
      <c r="B104" s="495"/>
      <c r="C104" s="495"/>
      <c r="D104" s="495"/>
      <c r="E104" s="495"/>
      <c r="F104" s="495"/>
      <c r="G104" s="495"/>
    </row>
    <row r="105" spans="1:7" ht="12.75">
      <c r="A105" s="473" t="s">
        <v>398</v>
      </c>
      <c r="B105" s="496"/>
      <c r="C105" s="496"/>
      <c r="D105" s="496"/>
      <c r="E105" s="496"/>
      <c r="F105" s="496"/>
      <c r="G105" s="496"/>
    </row>
    <row r="106" spans="1:7" ht="12.75">
      <c r="A106" s="468"/>
      <c r="B106" s="472" t="s">
        <v>207</v>
      </c>
      <c r="C106" s="472">
        <v>28</v>
      </c>
      <c r="D106" s="472" t="s">
        <v>404</v>
      </c>
      <c r="E106" s="472" t="s">
        <v>405</v>
      </c>
      <c r="F106" s="472" t="s">
        <v>381</v>
      </c>
      <c r="G106" s="472"/>
    </row>
    <row r="107" spans="1:7" ht="12.75">
      <c r="A107" s="470" t="s">
        <v>369</v>
      </c>
      <c r="B107" s="494" t="s">
        <v>301</v>
      </c>
      <c r="C107" s="494">
        <v>7</v>
      </c>
      <c r="D107" s="494" t="s">
        <v>343</v>
      </c>
      <c r="E107" s="494" t="s">
        <v>313</v>
      </c>
      <c r="F107" s="494" t="s">
        <v>304</v>
      </c>
      <c r="G107" s="494"/>
    </row>
    <row r="108" spans="1:7" ht="12.75">
      <c r="A108" s="467"/>
      <c r="B108" s="495"/>
      <c r="C108" s="495"/>
      <c r="D108" s="495"/>
      <c r="E108" s="495"/>
      <c r="F108" s="495"/>
      <c r="G108" s="495"/>
    </row>
    <row r="109" spans="1:7" ht="12.75">
      <c r="A109" s="466" t="s">
        <v>367</v>
      </c>
      <c r="B109" s="495"/>
      <c r="C109" s="495"/>
      <c r="D109" s="495"/>
      <c r="E109" s="495"/>
      <c r="F109" s="495"/>
      <c r="G109" s="495"/>
    </row>
    <row r="110" spans="1:7" ht="12.75">
      <c r="A110" s="466" t="s">
        <v>400</v>
      </c>
      <c r="B110" s="495"/>
      <c r="C110" s="495"/>
      <c r="D110" s="495"/>
      <c r="E110" s="495"/>
      <c r="F110" s="495"/>
      <c r="G110" s="495"/>
    </row>
    <row r="111" spans="1:7" ht="12.75">
      <c r="A111" s="469"/>
      <c r="B111" s="496"/>
      <c r="C111" s="496"/>
      <c r="D111" s="496"/>
      <c r="E111" s="496"/>
      <c r="F111" s="496"/>
      <c r="G111" s="496"/>
    </row>
    <row r="112" spans="1:7" ht="12.75">
      <c r="A112" s="541"/>
      <c r="B112" s="541"/>
      <c r="C112" s="541"/>
      <c r="D112" s="541"/>
      <c r="E112" s="557"/>
      <c r="F112" s="557"/>
      <c r="G112" s="541"/>
    </row>
    <row r="113" spans="1:7" ht="12.75">
      <c r="A113" s="488"/>
      <c r="B113" s="488"/>
      <c r="C113" s="488"/>
      <c r="D113" s="553"/>
      <c r="E113" s="548" t="s">
        <v>297</v>
      </c>
      <c r="F113" s="548" t="s">
        <v>297</v>
      </c>
      <c r="G113" s="554"/>
    </row>
    <row r="114" spans="1:7" ht="12.75">
      <c r="A114" s="489" t="s">
        <v>406</v>
      </c>
      <c r="B114" s="489" t="s">
        <v>205</v>
      </c>
      <c r="C114" s="489" t="s">
        <v>295</v>
      </c>
      <c r="D114" s="543" t="s">
        <v>296</v>
      </c>
      <c r="E114" s="549"/>
      <c r="F114" s="549"/>
      <c r="G114" s="555" t="s">
        <v>298</v>
      </c>
    </row>
    <row r="115" spans="1:7" ht="12.75">
      <c r="A115" s="490"/>
      <c r="B115" s="490"/>
      <c r="C115" s="490"/>
      <c r="D115" s="539"/>
      <c r="E115" s="558" t="s">
        <v>299</v>
      </c>
      <c r="F115" s="558" t="s">
        <v>300</v>
      </c>
      <c r="G115" s="556"/>
    </row>
    <row r="116" spans="1:7" ht="12.75">
      <c r="A116" s="491" t="s">
        <v>407</v>
      </c>
      <c r="B116" s="494" t="s">
        <v>301</v>
      </c>
      <c r="C116" s="494">
        <v>16</v>
      </c>
      <c r="D116" s="494" t="s">
        <v>314</v>
      </c>
      <c r="E116" s="495" t="s">
        <v>320</v>
      </c>
      <c r="F116" s="495" t="s">
        <v>305</v>
      </c>
      <c r="G116" s="494" t="s">
        <v>408</v>
      </c>
    </row>
    <row r="117" spans="1:7" ht="12.75">
      <c r="A117" s="551"/>
      <c r="B117" s="495"/>
      <c r="C117" s="495"/>
      <c r="D117" s="495"/>
      <c r="E117" s="495"/>
      <c r="F117" s="495"/>
      <c r="G117" s="495"/>
    </row>
    <row r="118" spans="1:7" ht="12.75">
      <c r="A118" s="500" t="s">
        <v>398</v>
      </c>
      <c r="B118" s="496"/>
      <c r="C118" s="496"/>
      <c r="D118" s="496"/>
      <c r="E118" s="496"/>
      <c r="F118" s="496"/>
      <c r="G118" s="496"/>
    </row>
    <row r="119" spans="1:7" ht="12.75">
      <c r="A119" s="552"/>
      <c r="B119" s="472" t="s">
        <v>207</v>
      </c>
      <c r="C119" s="472">
        <v>11</v>
      </c>
      <c r="D119" s="472" t="s">
        <v>354</v>
      </c>
      <c r="E119" s="472" t="s">
        <v>409</v>
      </c>
      <c r="F119" s="472" t="s">
        <v>403</v>
      </c>
      <c r="G119" s="472"/>
    </row>
    <row r="120" spans="1:7" ht="12.75">
      <c r="A120" s="491" t="s">
        <v>407</v>
      </c>
      <c r="B120" s="494" t="s">
        <v>301</v>
      </c>
      <c r="C120" s="494">
        <v>47</v>
      </c>
      <c r="D120" s="494" t="s">
        <v>312</v>
      </c>
      <c r="E120" s="494" t="s">
        <v>322</v>
      </c>
      <c r="F120" s="494" t="s">
        <v>314</v>
      </c>
      <c r="G120" s="494"/>
    </row>
    <row r="121" spans="1:7" ht="12.75">
      <c r="A121" s="551"/>
      <c r="B121" s="495"/>
      <c r="C121" s="495"/>
      <c r="D121" s="495"/>
      <c r="E121" s="495"/>
      <c r="F121" s="495"/>
      <c r="G121" s="495"/>
    </row>
    <row r="122" spans="1:7" ht="12.75">
      <c r="A122" s="500" t="s">
        <v>400</v>
      </c>
      <c r="B122" s="496"/>
      <c r="C122" s="496"/>
      <c r="D122" s="496"/>
      <c r="E122" s="496"/>
      <c r="F122" s="496"/>
      <c r="G122" s="496"/>
    </row>
    <row r="123" spans="1:7" ht="12.75">
      <c r="A123" s="552"/>
      <c r="B123" s="472" t="s">
        <v>207</v>
      </c>
      <c r="C123" s="472">
        <v>26</v>
      </c>
      <c r="D123" s="472" t="s">
        <v>410</v>
      </c>
      <c r="E123" s="472" t="s">
        <v>353</v>
      </c>
      <c r="F123" s="472" t="s">
        <v>411</v>
      </c>
      <c r="G123" s="472"/>
    </row>
    <row r="124" spans="1:7" ht="12.75">
      <c r="A124" s="491" t="s">
        <v>378</v>
      </c>
      <c r="B124" s="494" t="s">
        <v>301</v>
      </c>
      <c r="C124" s="494">
        <v>53</v>
      </c>
      <c r="D124" s="494" t="s">
        <v>302</v>
      </c>
      <c r="E124" s="494" t="s">
        <v>305</v>
      </c>
      <c r="F124" s="494" t="s">
        <v>313</v>
      </c>
      <c r="G124" s="494" t="s">
        <v>302</v>
      </c>
    </row>
    <row r="125" spans="1:7" ht="12.75">
      <c r="A125" s="551"/>
      <c r="B125" s="495"/>
      <c r="C125" s="495"/>
      <c r="D125" s="495"/>
      <c r="E125" s="495"/>
      <c r="F125" s="495"/>
      <c r="G125" s="495"/>
    </row>
    <row r="126" spans="1:7" ht="12.75">
      <c r="A126" s="500" t="s">
        <v>398</v>
      </c>
      <c r="B126" s="496"/>
      <c r="C126" s="496"/>
      <c r="D126" s="496"/>
      <c r="E126" s="496"/>
      <c r="F126" s="496"/>
      <c r="G126" s="496"/>
    </row>
    <row r="127" spans="1:7" ht="12.75">
      <c r="A127" s="552"/>
      <c r="B127" s="472" t="s">
        <v>207</v>
      </c>
      <c r="C127" s="472">
        <v>35</v>
      </c>
      <c r="D127" s="472" t="s">
        <v>412</v>
      </c>
      <c r="E127" s="472" t="s">
        <v>413</v>
      </c>
      <c r="F127" s="472" t="s">
        <v>381</v>
      </c>
      <c r="G127" s="472"/>
    </row>
    <row r="128" spans="1:7" ht="12.75">
      <c r="A128" s="491" t="s">
        <v>378</v>
      </c>
      <c r="B128" s="494" t="s">
        <v>301</v>
      </c>
      <c r="C128" s="494">
        <v>49</v>
      </c>
      <c r="D128" s="494" t="s">
        <v>313</v>
      </c>
      <c r="E128" s="494" t="s">
        <v>311</v>
      </c>
      <c r="F128" s="494" t="s">
        <v>414</v>
      </c>
      <c r="G128" s="494"/>
    </row>
    <row r="129" spans="1:7" ht="12.75">
      <c r="A129" s="551"/>
      <c r="B129" s="495"/>
      <c r="C129" s="495"/>
      <c r="D129" s="495"/>
      <c r="E129" s="495"/>
      <c r="F129" s="495"/>
      <c r="G129" s="495"/>
    </row>
    <row r="130" spans="1:7" ht="12.75">
      <c r="A130" s="500" t="s">
        <v>400</v>
      </c>
      <c r="B130" s="496"/>
      <c r="C130" s="496"/>
      <c r="D130" s="496"/>
      <c r="E130" s="496"/>
      <c r="F130" s="496"/>
      <c r="G130" s="496"/>
    </row>
    <row r="131" spans="1:7" ht="12.75">
      <c r="A131" s="552"/>
      <c r="B131" s="472" t="s">
        <v>207</v>
      </c>
      <c r="C131" s="472">
        <v>28</v>
      </c>
      <c r="D131" s="472" t="s">
        <v>412</v>
      </c>
      <c r="E131" s="472" t="s">
        <v>415</v>
      </c>
      <c r="F131" s="472" t="s">
        <v>416</v>
      </c>
      <c r="G131" s="472"/>
    </row>
    <row r="132" spans="1:7" ht="12.75">
      <c r="A132" s="491" t="s">
        <v>382</v>
      </c>
      <c r="B132" s="494" t="s">
        <v>301</v>
      </c>
      <c r="C132" s="494">
        <v>9</v>
      </c>
      <c r="D132" s="494" t="s">
        <v>302</v>
      </c>
      <c r="E132" s="494" t="s">
        <v>303</v>
      </c>
      <c r="F132" s="494" t="s">
        <v>304</v>
      </c>
      <c r="G132" s="494" t="s">
        <v>305</v>
      </c>
    </row>
    <row r="133" spans="1:7" ht="12.75">
      <c r="A133" s="551"/>
      <c r="B133" s="495"/>
      <c r="C133" s="495"/>
      <c r="D133" s="495"/>
      <c r="E133" s="495"/>
      <c r="F133" s="495"/>
      <c r="G133" s="495"/>
    </row>
    <row r="134" spans="1:7" ht="12.75">
      <c r="A134" s="500" t="s">
        <v>383</v>
      </c>
      <c r="B134" s="496"/>
      <c r="C134" s="496"/>
      <c r="D134" s="496"/>
      <c r="E134" s="496"/>
      <c r="F134" s="496"/>
      <c r="G134" s="496"/>
    </row>
    <row r="135" spans="1:7" ht="12.75">
      <c r="A135" s="552"/>
      <c r="B135" s="472" t="s">
        <v>207</v>
      </c>
      <c r="C135" s="472">
        <v>7</v>
      </c>
      <c r="D135" s="472" t="s">
        <v>417</v>
      </c>
      <c r="E135" s="472" t="s">
        <v>368</v>
      </c>
      <c r="F135" s="472" t="s">
        <v>418</v>
      </c>
      <c r="G135" s="472"/>
    </row>
    <row r="136" spans="1:7" ht="12.75">
      <c r="A136" s="491" t="s">
        <v>382</v>
      </c>
      <c r="B136" s="494" t="s">
        <v>301</v>
      </c>
      <c r="C136" s="494">
        <v>24</v>
      </c>
      <c r="D136" s="494" t="s">
        <v>313</v>
      </c>
      <c r="E136" s="494" t="s">
        <v>303</v>
      </c>
      <c r="F136" s="494" t="s">
        <v>414</v>
      </c>
      <c r="G136" s="494" t="s">
        <v>302</v>
      </c>
    </row>
    <row r="137" spans="1:7" ht="12.75">
      <c r="A137" s="551"/>
      <c r="B137" s="495"/>
      <c r="C137" s="495"/>
      <c r="D137" s="495"/>
      <c r="E137" s="495"/>
      <c r="F137" s="495"/>
      <c r="G137" s="495"/>
    </row>
    <row r="138" spans="1:7" ht="12.75">
      <c r="A138" s="500" t="s">
        <v>387</v>
      </c>
      <c r="B138" s="496"/>
      <c r="C138" s="496"/>
      <c r="D138" s="496"/>
      <c r="E138" s="496"/>
      <c r="F138" s="496"/>
      <c r="G138" s="496"/>
    </row>
    <row r="139" spans="1:7" ht="12.75">
      <c r="A139" s="552"/>
      <c r="B139" s="472" t="s">
        <v>207</v>
      </c>
      <c r="C139" s="472">
        <v>14</v>
      </c>
      <c r="D139" s="472" t="s">
        <v>419</v>
      </c>
      <c r="E139" s="472" t="s">
        <v>420</v>
      </c>
      <c r="F139" s="472" t="s">
        <v>421</v>
      </c>
      <c r="G139" s="472"/>
    </row>
    <row r="140" spans="1:7" ht="12.75">
      <c r="A140" s="541"/>
      <c r="B140" s="541"/>
      <c r="C140" s="541"/>
      <c r="D140" s="541"/>
      <c r="E140" s="541"/>
      <c r="F140" s="541"/>
      <c r="G140" s="541"/>
    </row>
    <row r="141" spans="1:7" ht="12.75">
      <c r="A141" s="532"/>
      <c r="B141" s="532"/>
      <c r="C141" s="532"/>
      <c r="D141" s="532"/>
      <c r="E141" s="488" t="s">
        <v>297</v>
      </c>
      <c r="F141" s="488" t="s">
        <v>297</v>
      </c>
      <c r="G141" s="532"/>
    </row>
    <row r="142" spans="1:7" ht="12.75">
      <c r="A142" s="536" t="s">
        <v>422</v>
      </c>
      <c r="B142" s="536" t="s">
        <v>205</v>
      </c>
      <c r="C142" s="536" t="s">
        <v>295</v>
      </c>
      <c r="D142" s="536" t="s">
        <v>296</v>
      </c>
      <c r="E142" s="467"/>
      <c r="F142" s="467"/>
      <c r="G142" s="536" t="s">
        <v>298</v>
      </c>
    </row>
    <row r="143" spans="1:7" ht="12.75">
      <c r="A143" s="533"/>
      <c r="B143" s="533"/>
      <c r="C143" s="533"/>
      <c r="D143" s="533"/>
      <c r="E143" s="490" t="s">
        <v>299</v>
      </c>
      <c r="F143" s="490" t="s">
        <v>361</v>
      </c>
      <c r="G143" s="533"/>
    </row>
    <row r="144" spans="1:7" ht="12.75">
      <c r="A144" s="532" t="s">
        <v>423</v>
      </c>
      <c r="B144" s="471" t="s">
        <v>301</v>
      </c>
      <c r="C144" s="472">
        <v>23</v>
      </c>
      <c r="D144" s="472" t="s">
        <v>303</v>
      </c>
      <c r="E144" s="472" t="s">
        <v>320</v>
      </c>
      <c r="F144" s="472" t="s">
        <v>313</v>
      </c>
      <c r="G144" s="472" t="s">
        <v>314</v>
      </c>
    </row>
    <row r="145" spans="1:7" ht="12.75">
      <c r="A145" s="533"/>
      <c r="B145" s="471" t="s">
        <v>207</v>
      </c>
      <c r="C145" s="472">
        <v>16</v>
      </c>
      <c r="D145" s="472" t="s">
        <v>308</v>
      </c>
      <c r="E145" s="472" t="s">
        <v>356</v>
      </c>
      <c r="F145" s="472" t="s">
        <v>402</v>
      </c>
      <c r="G145" s="472"/>
    </row>
    <row r="146" spans="1:7" ht="12.75">
      <c r="A146" s="475" t="s">
        <v>424</v>
      </c>
      <c r="B146" s="471" t="s">
        <v>301</v>
      </c>
      <c r="C146" s="472">
        <v>6</v>
      </c>
      <c r="D146" s="472" t="s">
        <v>408</v>
      </c>
      <c r="E146" s="472"/>
      <c r="F146" s="472"/>
      <c r="G146" s="472" t="s">
        <v>320</v>
      </c>
    </row>
    <row r="147" spans="1:7" ht="12.75">
      <c r="A147" s="532" t="s">
        <v>425</v>
      </c>
      <c r="B147" s="471" t="s">
        <v>301</v>
      </c>
      <c r="C147" s="472">
        <v>29</v>
      </c>
      <c r="D147" s="472" t="s">
        <v>339</v>
      </c>
      <c r="E147" s="472" t="s">
        <v>350</v>
      </c>
      <c r="F147" s="472" t="s">
        <v>349</v>
      </c>
      <c r="G147" s="472" t="s">
        <v>339</v>
      </c>
    </row>
    <row r="148" spans="1:7" ht="12.75">
      <c r="A148" s="533"/>
      <c r="B148" s="471" t="s">
        <v>207</v>
      </c>
      <c r="C148" s="472">
        <v>11</v>
      </c>
      <c r="D148" s="472" t="s">
        <v>426</v>
      </c>
      <c r="E148" s="472" t="s">
        <v>427</v>
      </c>
      <c r="F148" s="472" t="s">
        <v>306</v>
      </c>
      <c r="G148" s="472"/>
    </row>
    <row r="149" spans="1:7" ht="12.75">
      <c r="A149" s="541"/>
      <c r="B149" s="541"/>
      <c r="C149" s="541"/>
      <c r="D149" s="541"/>
      <c r="E149" s="541"/>
      <c r="F149" s="541"/>
      <c r="G149" s="541"/>
    </row>
    <row r="150" spans="1:7" ht="12.75">
      <c r="A150" s="488" t="s">
        <v>428</v>
      </c>
      <c r="B150" s="488"/>
      <c r="C150" s="488"/>
      <c r="D150" s="488"/>
      <c r="E150" s="488" t="s">
        <v>297</v>
      </c>
      <c r="F150" s="488" t="s">
        <v>297</v>
      </c>
      <c r="G150" s="488"/>
    </row>
    <row r="151" spans="1:7" ht="12.75">
      <c r="A151" s="489" t="s">
        <v>429</v>
      </c>
      <c r="B151" s="489" t="s">
        <v>205</v>
      </c>
      <c r="C151" s="489" t="s">
        <v>295</v>
      </c>
      <c r="D151" s="489" t="s">
        <v>296</v>
      </c>
      <c r="E151" s="467"/>
      <c r="F151" s="467"/>
      <c r="G151" s="489" t="s">
        <v>298</v>
      </c>
    </row>
    <row r="152" spans="1:7" ht="12.75">
      <c r="A152" s="490"/>
      <c r="B152" s="490"/>
      <c r="C152" s="490"/>
      <c r="D152" s="490"/>
      <c r="E152" s="490" t="s">
        <v>299</v>
      </c>
      <c r="F152" s="490" t="s">
        <v>300</v>
      </c>
      <c r="G152" s="490"/>
    </row>
    <row r="153" spans="1:7" ht="12.75">
      <c r="A153" s="491" t="s">
        <v>430</v>
      </c>
      <c r="B153" s="472" t="s">
        <v>301</v>
      </c>
      <c r="C153" s="472">
        <v>82</v>
      </c>
      <c r="D153" s="472" t="s">
        <v>333</v>
      </c>
      <c r="E153" s="472" t="s">
        <v>351</v>
      </c>
      <c r="F153" s="472" t="s">
        <v>328</v>
      </c>
      <c r="G153" s="472" t="s">
        <v>333</v>
      </c>
    </row>
    <row r="154" spans="1:7" ht="12.75">
      <c r="A154" s="492"/>
      <c r="B154" s="472" t="s">
        <v>207</v>
      </c>
      <c r="C154" s="472">
        <v>41</v>
      </c>
      <c r="D154" s="472" t="s">
        <v>403</v>
      </c>
      <c r="E154" s="472" t="s">
        <v>431</v>
      </c>
      <c r="F154" s="472" t="s">
        <v>432</v>
      </c>
      <c r="G154" s="472"/>
    </row>
    <row r="155" spans="1:7" ht="12.75">
      <c r="A155" s="491" t="s">
        <v>433</v>
      </c>
      <c r="B155" s="472" t="s">
        <v>301</v>
      </c>
      <c r="C155" s="472">
        <v>62</v>
      </c>
      <c r="D155" s="472" t="s">
        <v>328</v>
      </c>
      <c r="E155" s="472" t="s">
        <v>333</v>
      </c>
      <c r="F155" s="472" t="s">
        <v>321</v>
      </c>
      <c r="G155" s="472" t="s">
        <v>333</v>
      </c>
    </row>
    <row r="156" spans="1:7" ht="12.75">
      <c r="A156" s="492"/>
      <c r="B156" s="472" t="s">
        <v>207</v>
      </c>
      <c r="C156" s="472">
        <v>27</v>
      </c>
      <c r="D156" s="472" t="s">
        <v>434</v>
      </c>
      <c r="E156" s="472" t="s">
        <v>403</v>
      </c>
      <c r="F156" s="472" t="s">
        <v>435</v>
      </c>
      <c r="G156" s="472"/>
    </row>
    <row r="157" spans="1:7" ht="12.75">
      <c r="A157" s="475" t="s">
        <v>436</v>
      </c>
      <c r="B157" s="472" t="s">
        <v>301</v>
      </c>
      <c r="C157" s="472">
        <v>3</v>
      </c>
      <c r="D157" s="472" t="s">
        <v>328</v>
      </c>
      <c r="E157" s="472"/>
      <c r="F157" s="472"/>
      <c r="G157" s="472"/>
    </row>
    <row r="158" spans="1:7" ht="25.5">
      <c r="A158" s="475" t="s">
        <v>437</v>
      </c>
      <c r="B158" s="472" t="s">
        <v>301</v>
      </c>
      <c r="C158" s="472"/>
      <c r="D158" s="472"/>
      <c r="E158" s="472"/>
      <c r="F158" s="472"/>
      <c r="G158" s="472" t="s">
        <v>332</v>
      </c>
    </row>
    <row r="159" spans="1:7" ht="12.75">
      <c r="A159" s="475" t="s">
        <v>438</v>
      </c>
      <c r="B159" s="472" t="s">
        <v>301</v>
      </c>
      <c r="C159" s="472">
        <v>7</v>
      </c>
      <c r="D159" s="472" t="s">
        <v>339</v>
      </c>
      <c r="E159" s="472" t="s">
        <v>350</v>
      </c>
      <c r="F159" s="472" t="s">
        <v>349</v>
      </c>
      <c r="G159" s="472" t="s">
        <v>339</v>
      </c>
    </row>
    <row r="160" spans="1:7" ht="12.75">
      <c r="A160" s="541"/>
      <c r="B160" s="541"/>
      <c r="C160" s="541"/>
      <c r="D160" s="541"/>
      <c r="E160" s="541"/>
      <c r="F160" s="541"/>
      <c r="G160" s="541"/>
    </row>
    <row r="161" spans="1:7" ht="12.75">
      <c r="A161" s="488" t="s">
        <v>428</v>
      </c>
      <c r="B161" s="488" t="s">
        <v>205</v>
      </c>
      <c r="C161" s="488" t="s">
        <v>295</v>
      </c>
      <c r="D161" s="488" t="s">
        <v>296</v>
      </c>
      <c r="E161" s="488" t="s">
        <v>297</v>
      </c>
      <c r="F161" s="488" t="s">
        <v>297</v>
      </c>
      <c r="G161" s="488" t="s">
        <v>298</v>
      </c>
    </row>
    <row r="162" spans="1:7" ht="12.75">
      <c r="A162" s="489" t="s">
        <v>439</v>
      </c>
      <c r="B162" s="489"/>
      <c r="C162" s="489"/>
      <c r="D162" s="489"/>
      <c r="E162" s="467"/>
      <c r="F162" s="467"/>
      <c r="G162" s="489"/>
    </row>
    <row r="163" spans="1:7" ht="12.75">
      <c r="A163" s="490"/>
      <c r="B163" s="490"/>
      <c r="C163" s="490"/>
      <c r="D163" s="490"/>
      <c r="E163" s="490" t="s">
        <v>299</v>
      </c>
      <c r="F163" s="490" t="s">
        <v>300</v>
      </c>
      <c r="G163" s="490"/>
    </row>
    <row r="164" spans="1:7" ht="12.75">
      <c r="A164" s="491" t="s">
        <v>440</v>
      </c>
      <c r="B164" s="472" t="s">
        <v>301</v>
      </c>
      <c r="C164" s="472">
        <v>14</v>
      </c>
      <c r="D164" s="472" t="s">
        <v>321</v>
      </c>
      <c r="E164" s="472" t="s">
        <v>333</v>
      </c>
      <c r="F164" s="472" t="s">
        <v>332</v>
      </c>
      <c r="G164" s="472" t="s">
        <v>321</v>
      </c>
    </row>
    <row r="165" spans="1:7" ht="12.75">
      <c r="A165" s="492"/>
      <c r="B165" s="472" t="s">
        <v>207</v>
      </c>
      <c r="C165" s="472">
        <v>5</v>
      </c>
      <c r="D165" s="472" t="s">
        <v>357</v>
      </c>
      <c r="E165" s="472"/>
      <c r="F165" s="472"/>
      <c r="G165" s="472"/>
    </row>
    <row r="166" spans="1:7" ht="12.75">
      <c r="A166" s="491" t="s">
        <v>441</v>
      </c>
      <c r="B166" s="472" t="s">
        <v>301</v>
      </c>
      <c r="C166" s="472">
        <v>20</v>
      </c>
      <c r="D166" s="472" t="s">
        <v>351</v>
      </c>
      <c r="E166" s="472" t="s">
        <v>349</v>
      </c>
      <c r="F166" s="472" t="s">
        <v>333</v>
      </c>
      <c r="G166" s="472" t="s">
        <v>351</v>
      </c>
    </row>
    <row r="167" spans="1:7" ht="12.75">
      <c r="A167" s="492"/>
      <c r="B167" s="472" t="s">
        <v>207</v>
      </c>
      <c r="C167" s="472">
        <v>8</v>
      </c>
      <c r="D167" s="472" t="s">
        <v>405</v>
      </c>
      <c r="E167" s="472" t="s">
        <v>442</v>
      </c>
      <c r="F167" s="472" t="s">
        <v>325</v>
      </c>
      <c r="G167" s="472"/>
    </row>
    <row r="168" spans="1:7" ht="12.75">
      <c r="A168" s="541"/>
      <c r="B168" s="541"/>
      <c r="C168" s="541"/>
      <c r="D168" s="541"/>
      <c r="E168" s="541"/>
      <c r="F168" s="541"/>
      <c r="G168" s="541"/>
    </row>
    <row r="169" spans="1:7" ht="12.75">
      <c r="A169" s="488" t="s">
        <v>443</v>
      </c>
      <c r="B169" s="488" t="s">
        <v>205</v>
      </c>
      <c r="C169" s="488" t="s">
        <v>295</v>
      </c>
      <c r="D169" s="488" t="s">
        <v>296</v>
      </c>
      <c r="E169" s="488" t="s">
        <v>297</v>
      </c>
      <c r="F169" s="488" t="s">
        <v>297</v>
      </c>
      <c r="G169" s="488" t="s">
        <v>298</v>
      </c>
    </row>
    <row r="170" spans="1:7" ht="12.75">
      <c r="A170" s="489"/>
      <c r="B170" s="489"/>
      <c r="C170" s="489"/>
      <c r="D170" s="489"/>
      <c r="E170" s="467"/>
      <c r="F170" s="467"/>
      <c r="G170" s="489"/>
    </row>
    <row r="171" spans="1:7" ht="12.75">
      <c r="A171" s="490"/>
      <c r="B171" s="490"/>
      <c r="C171" s="490"/>
      <c r="D171" s="490"/>
      <c r="E171" s="490" t="s">
        <v>299</v>
      </c>
      <c r="F171" s="490" t="s">
        <v>300</v>
      </c>
      <c r="G171" s="490"/>
    </row>
    <row r="172" spans="1:7" ht="12.75">
      <c r="A172" s="532" t="s">
        <v>444</v>
      </c>
      <c r="B172" s="472" t="s">
        <v>301</v>
      </c>
      <c r="C172" s="472">
        <v>52</v>
      </c>
      <c r="D172" s="472" t="s">
        <v>333</v>
      </c>
      <c r="E172" s="472" t="s">
        <v>349</v>
      </c>
      <c r="F172" s="472" t="s">
        <v>328</v>
      </c>
      <c r="G172" s="472" t="s">
        <v>351</v>
      </c>
    </row>
    <row r="173" spans="1:7" ht="12.75">
      <c r="A173" s="533"/>
      <c r="B173" s="472" t="s">
        <v>207</v>
      </c>
      <c r="C173" s="472">
        <v>18</v>
      </c>
      <c r="D173" s="472" t="s">
        <v>445</v>
      </c>
      <c r="E173" s="472" t="s">
        <v>446</v>
      </c>
      <c r="F173" s="472" t="s">
        <v>447</v>
      </c>
      <c r="G173" s="472"/>
    </row>
    <row r="174" spans="1:7" ht="12.75">
      <c r="A174" s="532" t="s">
        <v>448</v>
      </c>
      <c r="B174" s="472" t="s">
        <v>301</v>
      </c>
      <c r="C174" s="472">
        <v>3</v>
      </c>
      <c r="D174" s="472" t="s">
        <v>333</v>
      </c>
      <c r="E174" s="472"/>
      <c r="F174" s="472"/>
      <c r="G174" s="472"/>
    </row>
    <row r="175" spans="1:7" ht="12.75">
      <c r="A175" s="533"/>
      <c r="B175" s="472" t="s">
        <v>207</v>
      </c>
      <c r="C175" s="472">
        <v>3</v>
      </c>
      <c r="D175" s="472" t="s">
        <v>449</v>
      </c>
      <c r="E175" s="472"/>
      <c r="F175" s="472"/>
      <c r="G175" s="472"/>
    </row>
    <row r="176" spans="1:7" ht="12.75">
      <c r="A176" s="532" t="s">
        <v>450</v>
      </c>
      <c r="B176" s="472" t="s">
        <v>301</v>
      </c>
      <c r="C176" s="472">
        <v>4</v>
      </c>
      <c r="D176" s="472" t="s">
        <v>333</v>
      </c>
      <c r="E176" s="472"/>
      <c r="F176" s="472"/>
      <c r="G176" s="472" t="s">
        <v>333</v>
      </c>
    </row>
    <row r="177" spans="1:7" ht="12.75">
      <c r="A177" s="533"/>
      <c r="B177" s="472" t="s">
        <v>207</v>
      </c>
      <c r="C177" s="472">
        <v>19</v>
      </c>
      <c r="D177" s="472" t="s">
        <v>322</v>
      </c>
      <c r="E177" s="472" t="s">
        <v>332</v>
      </c>
      <c r="F177" s="472" t="s">
        <v>320</v>
      </c>
      <c r="G177" s="472"/>
    </row>
    <row r="178" spans="1:7" ht="12.75">
      <c r="A178" s="532" t="s">
        <v>451</v>
      </c>
      <c r="B178" s="472" t="s">
        <v>301</v>
      </c>
      <c r="C178" s="472">
        <v>17</v>
      </c>
      <c r="D178" s="472" t="s">
        <v>408</v>
      </c>
      <c r="E178" s="472" t="s">
        <v>332</v>
      </c>
      <c r="F178" s="472" t="s">
        <v>303</v>
      </c>
      <c r="G178" s="472" t="s">
        <v>408</v>
      </c>
    </row>
    <row r="179" spans="1:7" ht="12.75">
      <c r="A179" s="533"/>
      <c r="B179" s="472" t="s">
        <v>207</v>
      </c>
      <c r="C179" s="472">
        <v>5</v>
      </c>
      <c r="D179" s="472" t="s">
        <v>452</v>
      </c>
      <c r="E179" s="472"/>
      <c r="F179" s="472"/>
      <c r="G179" s="472"/>
    </row>
    <row r="180" spans="1:7" ht="12.75">
      <c r="A180" s="532" t="s">
        <v>453</v>
      </c>
      <c r="B180" s="472" t="s">
        <v>301</v>
      </c>
      <c r="C180" s="472">
        <v>9</v>
      </c>
      <c r="D180" s="472" t="s">
        <v>328</v>
      </c>
      <c r="E180" s="472" t="s">
        <v>328</v>
      </c>
      <c r="F180" s="472" t="s">
        <v>321</v>
      </c>
      <c r="G180" s="472"/>
    </row>
    <row r="181" spans="1:7" ht="12.75">
      <c r="A181" s="533"/>
      <c r="B181" s="472" t="s">
        <v>207</v>
      </c>
      <c r="C181" s="472">
        <v>5</v>
      </c>
      <c r="D181" s="472" t="s">
        <v>454</v>
      </c>
      <c r="E181" s="472"/>
      <c r="F181" s="472"/>
      <c r="G181" s="472"/>
    </row>
    <row r="182" spans="1:7" ht="12.75">
      <c r="A182" s="532" t="s">
        <v>455</v>
      </c>
      <c r="B182" s="472" t="s">
        <v>301</v>
      </c>
      <c r="C182" s="472">
        <v>16</v>
      </c>
      <c r="D182" s="472" t="s">
        <v>328</v>
      </c>
      <c r="E182" s="472" t="s">
        <v>349</v>
      </c>
      <c r="F182" s="472" t="s">
        <v>332</v>
      </c>
      <c r="G182" s="472" t="s">
        <v>321</v>
      </c>
    </row>
    <row r="183" spans="1:7" ht="12.75">
      <c r="A183" s="533"/>
      <c r="B183" s="472" t="s">
        <v>207</v>
      </c>
      <c r="C183" s="472">
        <v>10</v>
      </c>
      <c r="D183" s="472" t="s">
        <v>456</v>
      </c>
      <c r="E183" s="472" t="s">
        <v>457</v>
      </c>
      <c r="F183" s="472" t="s">
        <v>410</v>
      </c>
      <c r="G183" s="472"/>
    </row>
    <row r="184" spans="1:7" ht="12.75">
      <c r="A184" s="541"/>
      <c r="B184" s="541"/>
      <c r="C184" s="541"/>
      <c r="D184" s="541"/>
      <c r="E184" s="541"/>
      <c r="F184" s="541"/>
      <c r="G184" s="541"/>
    </row>
    <row r="185" spans="1:7" ht="12.75">
      <c r="A185" s="488" t="s">
        <v>458</v>
      </c>
      <c r="B185" s="488" t="s">
        <v>205</v>
      </c>
      <c r="C185" s="488" t="s">
        <v>295</v>
      </c>
      <c r="D185" s="488" t="s">
        <v>296</v>
      </c>
      <c r="E185" s="488" t="s">
        <v>297</v>
      </c>
      <c r="F185" s="488" t="s">
        <v>297</v>
      </c>
      <c r="G185" s="488" t="s">
        <v>298</v>
      </c>
    </row>
    <row r="186" spans="1:7" ht="12.75">
      <c r="A186" s="489"/>
      <c r="B186" s="489"/>
      <c r="C186" s="489"/>
      <c r="D186" s="489"/>
      <c r="E186" s="467"/>
      <c r="F186" s="467"/>
      <c r="G186" s="489"/>
    </row>
    <row r="187" spans="1:7" ht="12.75">
      <c r="A187" s="490"/>
      <c r="B187" s="490"/>
      <c r="C187" s="490"/>
      <c r="D187" s="490"/>
      <c r="E187" s="490" t="s">
        <v>299</v>
      </c>
      <c r="F187" s="490" t="s">
        <v>300</v>
      </c>
      <c r="G187" s="490"/>
    </row>
    <row r="188" spans="1:7" ht="12.75">
      <c r="A188" s="491" t="s">
        <v>459</v>
      </c>
      <c r="B188" s="472" t="s">
        <v>301</v>
      </c>
      <c r="C188" s="472">
        <v>3</v>
      </c>
      <c r="D188" s="472" t="s">
        <v>321</v>
      </c>
      <c r="E188" s="472"/>
      <c r="F188" s="472"/>
      <c r="G188" s="472"/>
    </row>
    <row r="189" spans="1:7" ht="12.75">
      <c r="A189" s="490"/>
      <c r="B189" s="472" t="s">
        <v>207</v>
      </c>
      <c r="C189" s="472">
        <v>3</v>
      </c>
      <c r="D189" s="472" t="s">
        <v>460</v>
      </c>
      <c r="E189" s="472"/>
      <c r="F189" s="472"/>
      <c r="G189" s="472"/>
    </row>
    <row r="190" spans="1:7" ht="12.75">
      <c r="A190" s="501"/>
      <c r="B190" s="501"/>
      <c r="C190" s="501"/>
      <c r="D190" s="501"/>
      <c r="E190" s="501"/>
      <c r="F190" s="501"/>
      <c r="G190" s="501"/>
    </row>
    <row r="191" spans="1:7" ht="12.75">
      <c r="A191" s="566" t="s">
        <v>461</v>
      </c>
      <c r="B191" s="566"/>
      <c r="C191" s="566"/>
      <c r="D191" s="566"/>
      <c r="E191" s="566"/>
      <c r="F191" s="566"/>
      <c r="G191" s="566"/>
    </row>
    <row r="192" spans="1:7" ht="12.75">
      <c r="A192" s="567"/>
      <c r="B192" s="567"/>
      <c r="C192" s="567"/>
      <c r="D192" s="567"/>
      <c r="E192" s="567"/>
      <c r="F192" s="567"/>
      <c r="G192" s="567"/>
    </row>
    <row r="193" spans="1:7" ht="12.75">
      <c r="A193" s="488" t="s">
        <v>462</v>
      </c>
      <c r="B193" s="476"/>
      <c r="C193" s="476"/>
      <c r="D193" s="476"/>
      <c r="E193" s="488" t="s">
        <v>297</v>
      </c>
      <c r="F193" s="488" t="s">
        <v>297</v>
      </c>
      <c r="G193" s="476"/>
    </row>
    <row r="194" spans="1:7" ht="12.75">
      <c r="A194" s="489"/>
      <c r="B194" s="489" t="s">
        <v>205</v>
      </c>
      <c r="C194" s="467"/>
      <c r="D194" s="489" t="s">
        <v>296</v>
      </c>
      <c r="E194" s="467"/>
      <c r="F194" s="467"/>
      <c r="G194" s="489" t="s">
        <v>298</v>
      </c>
    </row>
    <row r="195" spans="1:7" ht="12.75">
      <c r="A195" s="490"/>
      <c r="B195" s="469"/>
      <c r="C195" s="490" t="s">
        <v>295</v>
      </c>
      <c r="D195" s="469"/>
      <c r="E195" s="490" t="s">
        <v>299</v>
      </c>
      <c r="F195" s="490" t="s">
        <v>300</v>
      </c>
      <c r="G195" s="469"/>
    </row>
    <row r="196" spans="1:7" ht="12.75">
      <c r="A196" s="491" t="s">
        <v>209</v>
      </c>
      <c r="B196" s="494" t="s">
        <v>301</v>
      </c>
      <c r="C196" s="494">
        <v>65</v>
      </c>
      <c r="D196" s="494" t="s">
        <v>463</v>
      </c>
      <c r="E196" s="494" t="s">
        <v>464</v>
      </c>
      <c r="F196" s="494" t="s">
        <v>465</v>
      </c>
      <c r="G196" s="494"/>
    </row>
    <row r="197" spans="1:7" ht="12.75">
      <c r="A197" s="551"/>
      <c r="B197" s="495"/>
      <c r="C197" s="495"/>
      <c r="D197" s="495"/>
      <c r="E197" s="495"/>
      <c r="F197" s="495"/>
      <c r="G197" s="495"/>
    </row>
    <row r="198" spans="1:7" ht="12.75">
      <c r="A198" s="500" t="s">
        <v>466</v>
      </c>
      <c r="B198" s="496"/>
      <c r="C198" s="496"/>
      <c r="D198" s="496"/>
      <c r="E198" s="496"/>
      <c r="F198" s="496"/>
      <c r="G198" s="496"/>
    </row>
    <row r="199" spans="1:7" ht="12.75">
      <c r="A199" s="552"/>
      <c r="B199" s="472" t="s">
        <v>207</v>
      </c>
      <c r="C199" s="472">
        <v>32</v>
      </c>
      <c r="D199" s="472" t="s">
        <v>467</v>
      </c>
      <c r="E199" s="472" t="s">
        <v>402</v>
      </c>
      <c r="F199" s="472" t="s">
        <v>468</v>
      </c>
      <c r="G199" s="472"/>
    </row>
    <row r="200" spans="1:7" ht="12.75">
      <c r="A200" s="491" t="s">
        <v>209</v>
      </c>
      <c r="B200" s="494" t="s">
        <v>301</v>
      </c>
      <c r="C200" s="494">
        <v>155</v>
      </c>
      <c r="D200" s="494" t="s">
        <v>469</v>
      </c>
      <c r="E200" s="494" t="s">
        <v>470</v>
      </c>
      <c r="F200" s="494" t="s">
        <v>471</v>
      </c>
      <c r="G200" s="494" t="s">
        <v>469</v>
      </c>
    </row>
    <row r="201" spans="1:7" ht="12.75">
      <c r="A201" s="551"/>
      <c r="B201" s="495"/>
      <c r="C201" s="495"/>
      <c r="D201" s="495"/>
      <c r="E201" s="495"/>
      <c r="F201" s="495"/>
      <c r="G201" s="495"/>
    </row>
    <row r="202" spans="1:7" ht="12.75">
      <c r="A202" s="500" t="s">
        <v>472</v>
      </c>
      <c r="B202" s="496"/>
      <c r="C202" s="496"/>
      <c r="D202" s="496"/>
      <c r="E202" s="496"/>
      <c r="F202" s="496"/>
      <c r="G202" s="496"/>
    </row>
    <row r="203" spans="1:7" ht="12.75">
      <c r="A203" s="552"/>
      <c r="B203" s="472" t="s">
        <v>207</v>
      </c>
      <c r="C203" s="472">
        <v>78</v>
      </c>
      <c r="D203" s="472" t="s">
        <v>445</v>
      </c>
      <c r="E203" s="472" t="s">
        <v>375</v>
      </c>
      <c r="F203" s="472" t="s">
        <v>373</v>
      </c>
      <c r="G203" s="472" t="s">
        <v>473</v>
      </c>
    </row>
    <row r="204" spans="1:7" ht="12.75">
      <c r="A204" s="491" t="s">
        <v>210</v>
      </c>
      <c r="B204" s="494" t="s">
        <v>301</v>
      </c>
      <c r="C204" s="494">
        <v>56</v>
      </c>
      <c r="D204" s="494" t="s">
        <v>474</v>
      </c>
      <c r="E204" s="494" t="s">
        <v>464</v>
      </c>
      <c r="F204" s="494" t="s">
        <v>463</v>
      </c>
      <c r="G204" s="494"/>
    </row>
    <row r="205" spans="1:7" ht="12.75">
      <c r="A205" s="551"/>
      <c r="B205" s="495"/>
      <c r="C205" s="495"/>
      <c r="D205" s="495"/>
      <c r="E205" s="495"/>
      <c r="F205" s="495"/>
      <c r="G205" s="495"/>
    </row>
    <row r="206" spans="1:7" ht="12.75">
      <c r="A206" s="500" t="s">
        <v>466</v>
      </c>
      <c r="B206" s="496"/>
      <c r="C206" s="496"/>
      <c r="D206" s="496"/>
      <c r="E206" s="496"/>
      <c r="F206" s="496"/>
      <c r="G206" s="496"/>
    </row>
    <row r="207" spans="1:7" ht="12.75">
      <c r="A207" s="552"/>
      <c r="B207" s="472" t="s">
        <v>207</v>
      </c>
      <c r="C207" s="472">
        <v>27</v>
      </c>
      <c r="D207" s="472" t="s">
        <v>475</v>
      </c>
      <c r="E207" s="472" t="s">
        <v>476</v>
      </c>
      <c r="F207" s="472" t="s">
        <v>477</v>
      </c>
      <c r="G207" s="472"/>
    </row>
    <row r="208" spans="1:7" ht="12.75">
      <c r="A208" s="491" t="s">
        <v>210</v>
      </c>
      <c r="B208" s="494" t="s">
        <v>301</v>
      </c>
      <c r="C208" s="494">
        <v>163</v>
      </c>
      <c r="D208" s="494" t="s">
        <v>474</v>
      </c>
      <c r="E208" s="494" t="s">
        <v>470</v>
      </c>
      <c r="F208" s="494" t="s">
        <v>463</v>
      </c>
      <c r="G208" s="494" t="s">
        <v>474</v>
      </c>
    </row>
    <row r="209" spans="1:7" ht="12.75">
      <c r="A209" s="551"/>
      <c r="B209" s="495"/>
      <c r="C209" s="495"/>
      <c r="D209" s="495"/>
      <c r="E209" s="495"/>
      <c r="F209" s="495"/>
      <c r="G209" s="495"/>
    </row>
    <row r="210" spans="1:7" ht="12.75">
      <c r="A210" s="500" t="s">
        <v>472</v>
      </c>
      <c r="B210" s="496"/>
      <c r="C210" s="496"/>
      <c r="D210" s="496"/>
      <c r="E210" s="496"/>
      <c r="F210" s="496"/>
      <c r="G210" s="496"/>
    </row>
    <row r="211" spans="1:7" ht="12.75">
      <c r="A211" s="552"/>
      <c r="B211" s="472" t="s">
        <v>207</v>
      </c>
      <c r="C211" s="472">
        <v>83</v>
      </c>
      <c r="D211" s="472" t="s">
        <v>478</v>
      </c>
      <c r="E211" s="472" t="s">
        <v>354</v>
      </c>
      <c r="F211" s="472" t="s">
        <v>479</v>
      </c>
      <c r="G211" s="472" t="s">
        <v>375</v>
      </c>
    </row>
    <row r="212" spans="1:7" ht="12.75">
      <c r="A212" s="491" t="s">
        <v>211</v>
      </c>
      <c r="B212" s="494" t="s">
        <v>301</v>
      </c>
      <c r="C212" s="494">
        <v>51</v>
      </c>
      <c r="D212" s="494" t="s">
        <v>464</v>
      </c>
      <c r="E212" s="494" t="s">
        <v>470</v>
      </c>
      <c r="F212" s="494" t="s">
        <v>463</v>
      </c>
      <c r="G212" s="494"/>
    </row>
    <row r="213" spans="1:7" ht="12.75">
      <c r="A213" s="551"/>
      <c r="B213" s="495"/>
      <c r="C213" s="495"/>
      <c r="D213" s="495"/>
      <c r="E213" s="495"/>
      <c r="F213" s="495"/>
      <c r="G213" s="495"/>
    </row>
    <row r="214" spans="1:7" ht="12.75">
      <c r="A214" s="500" t="s">
        <v>466</v>
      </c>
      <c r="B214" s="496"/>
      <c r="C214" s="496"/>
      <c r="D214" s="496"/>
      <c r="E214" s="496"/>
      <c r="F214" s="496"/>
      <c r="G214" s="496"/>
    </row>
    <row r="215" spans="1:7" ht="12.75">
      <c r="A215" s="552"/>
      <c r="B215" s="472" t="s">
        <v>207</v>
      </c>
      <c r="C215" s="472">
        <v>22</v>
      </c>
      <c r="D215" s="472" t="s">
        <v>480</v>
      </c>
      <c r="E215" s="472" t="s">
        <v>481</v>
      </c>
      <c r="F215" s="472" t="s">
        <v>482</v>
      </c>
      <c r="G215" s="472"/>
    </row>
    <row r="216" spans="1:7" ht="12.75">
      <c r="A216" s="491" t="s">
        <v>211</v>
      </c>
      <c r="B216" s="494" t="s">
        <v>301</v>
      </c>
      <c r="C216" s="494">
        <v>149</v>
      </c>
      <c r="D216" s="494" t="s">
        <v>483</v>
      </c>
      <c r="E216" s="494" t="s">
        <v>484</v>
      </c>
      <c r="F216" s="494" t="s">
        <v>463</v>
      </c>
      <c r="G216" s="494" t="s">
        <v>483</v>
      </c>
    </row>
    <row r="217" spans="1:7" ht="12.75">
      <c r="A217" s="551"/>
      <c r="B217" s="495"/>
      <c r="C217" s="495"/>
      <c r="D217" s="495"/>
      <c r="E217" s="495"/>
      <c r="F217" s="495"/>
      <c r="G217" s="495"/>
    </row>
    <row r="218" spans="1:7" ht="12.75">
      <c r="A218" s="500" t="s">
        <v>472</v>
      </c>
      <c r="B218" s="496"/>
      <c r="C218" s="496"/>
      <c r="D218" s="496"/>
      <c r="E218" s="496"/>
      <c r="F218" s="496"/>
      <c r="G218" s="496"/>
    </row>
    <row r="219" spans="1:7" ht="12.75">
      <c r="A219" s="552"/>
      <c r="B219" s="472" t="s">
        <v>207</v>
      </c>
      <c r="C219" s="472">
        <v>76</v>
      </c>
      <c r="D219" s="472" t="s">
        <v>481</v>
      </c>
      <c r="E219" s="472" t="s">
        <v>413</v>
      </c>
      <c r="F219" s="472" t="s">
        <v>373</v>
      </c>
      <c r="G219" s="472" t="s">
        <v>485</v>
      </c>
    </row>
    <row r="220" spans="1:7" ht="12.75">
      <c r="A220" s="491" t="s">
        <v>212</v>
      </c>
      <c r="B220" s="494" t="s">
        <v>301</v>
      </c>
      <c r="C220" s="494">
        <v>4</v>
      </c>
      <c r="D220" s="494" t="s">
        <v>483</v>
      </c>
      <c r="E220" s="494"/>
      <c r="F220" s="494"/>
      <c r="G220" s="494"/>
    </row>
    <row r="221" spans="1:7" ht="12.75">
      <c r="A221" s="551"/>
      <c r="B221" s="495"/>
      <c r="C221" s="495"/>
      <c r="D221" s="495"/>
      <c r="E221" s="495"/>
      <c r="F221" s="495"/>
      <c r="G221" s="495"/>
    </row>
    <row r="222" spans="1:7" ht="12.75">
      <c r="A222" s="500" t="s">
        <v>466</v>
      </c>
      <c r="B222" s="495"/>
      <c r="C222" s="495"/>
      <c r="D222" s="495"/>
      <c r="E222" s="495"/>
      <c r="F222" s="495"/>
      <c r="G222" s="495"/>
    </row>
    <row r="223" spans="1:7" ht="12.75">
      <c r="A223" s="492"/>
      <c r="B223" s="496"/>
      <c r="C223" s="496"/>
      <c r="D223" s="496"/>
      <c r="E223" s="496"/>
      <c r="F223" s="496"/>
      <c r="G223" s="496"/>
    </row>
    <row r="224" spans="1:7" ht="12.75">
      <c r="A224" s="491" t="s">
        <v>212</v>
      </c>
      <c r="B224" s="494" t="s">
        <v>301</v>
      </c>
      <c r="C224" s="494">
        <v>16</v>
      </c>
      <c r="D224" s="494" t="s">
        <v>483</v>
      </c>
      <c r="E224" s="494" t="s">
        <v>484</v>
      </c>
      <c r="F224" s="494" t="s">
        <v>463</v>
      </c>
      <c r="G224" s="494" t="s">
        <v>483</v>
      </c>
    </row>
    <row r="225" spans="1:7" ht="12.75">
      <c r="A225" s="551"/>
      <c r="B225" s="495"/>
      <c r="C225" s="495"/>
      <c r="D225" s="495"/>
      <c r="E225" s="495"/>
      <c r="F225" s="495"/>
      <c r="G225" s="495"/>
    </row>
    <row r="226" spans="1:7" ht="12.75">
      <c r="A226" s="500" t="s">
        <v>472</v>
      </c>
      <c r="B226" s="496"/>
      <c r="C226" s="496"/>
      <c r="D226" s="496"/>
      <c r="E226" s="496"/>
      <c r="F226" s="496"/>
      <c r="G226" s="496"/>
    </row>
    <row r="227" spans="1:7" ht="12.75">
      <c r="A227" s="552"/>
      <c r="B227" s="472" t="s">
        <v>207</v>
      </c>
      <c r="C227" s="472">
        <v>9</v>
      </c>
      <c r="D227" s="472" t="s">
        <v>379</v>
      </c>
      <c r="E227" s="472" t="s">
        <v>446</v>
      </c>
      <c r="F227" s="472" t="s">
        <v>486</v>
      </c>
      <c r="G227" s="472" t="s">
        <v>487</v>
      </c>
    </row>
    <row r="228" spans="1:7" ht="12.75">
      <c r="A228" s="491" t="s">
        <v>488</v>
      </c>
      <c r="B228" s="472" t="s">
        <v>301</v>
      </c>
      <c r="C228" s="472">
        <v>14</v>
      </c>
      <c r="D228" s="472" t="s">
        <v>349</v>
      </c>
      <c r="E228" s="472" t="s">
        <v>350</v>
      </c>
      <c r="F228" s="472" t="s">
        <v>351</v>
      </c>
      <c r="G228" s="472" t="s">
        <v>339</v>
      </c>
    </row>
    <row r="229" spans="1:7" ht="12.75">
      <c r="A229" s="492"/>
      <c r="B229" s="472" t="s">
        <v>207</v>
      </c>
      <c r="C229" s="472">
        <v>10</v>
      </c>
      <c r="D229" s="472" t="s">
        <v>489</v>
      </c>
      <c r="E229" s="472" t="s">
        <v>376</v>
      </c>
      <c r="F229" s="472" t="s">
        <v>345</v>
      </c>
      <c r="G229" s="472" t="s">
        <v>490</v>
      </c>
    </row>
    <row r="230" spans="1:7" ht="12.75">
      <c r="A230" s="568"/>
      <c r="B230" s="568"/>
      <c r="C230" s="568"/>
      <c r="D230" s="568"/>
      <c r="E230" s="568"/>
      <c r="F230" s="568"/>
      <c r="G230" s="568"/>
    </row>
    <row r="231" spans="1:7" ht="12.75">
      <c r="A231" s="488" t="s">
        <v>491</v>
      </c>
      <c r="B231" s="488" t="s">
        <v>205</v>
      </c>
      <c r="C231" s="488" t="s">
        <v>295</v>
      </c>
      <c r="D231" s="488" t="s">
        <v>296</v>
      </c>
      <c r="E231" s="488" t="s">
        <v>297</v>
      </c>
      <c r="F231" s="488" t="s">
        <v>492</v>
      </c>
      <c r="G231" s="488" t="s">
        <v>298</v>
      </c>
    </row>
    <row r="232" spans="1:7" ht="12.75">
      <c r="A232" s="489"/>
      <c r="B232" s="489"/>
      <c r="C232" s="489"/>
      <c r="D232" s="489"/>
      <c r="E232" s="467"/>
      <c r="F232" s="467"/>
      <c r="G232" s="489"/>
    </row>
    <row r="233" spans="1:7" ht="12.75">
      <c r="A233" s="490"/>
      <c r="B233" s="490"/>
      <c r="C233" s="490"/>
      <c r="D233" s="490"/>
      <c r="E233" s="490" t="s">
        <v>299</v>
      </c>
      <c r="F233" s="490" t="s">
        <v>300</v>
      </c>
      <c r="G233" s="490"/>
    </row>
    <row r="234" spans="1:7" ht="12.75">
      <c r="A234" s="491" t="s">
        <v>209</v>
      </c>
      <c r="B234" s="494" t="s">
        <v>301</v>
      </c>
      <c r="C234" s="494">
        <v>23</v>
      </c>
      <c r="D234" s="494" t="s">
        <v>463</v>
      </c>
      <c r="E234" s="494" t="s">
        <v>464</v>
      </c>
      <c r="F234" s="494" t="s">
        <v>493</v>
      </c>
      <c r="G234" s="494"/>
    </row>
    <row r="235" spans="1:7" ht="12.75">
      <c r="A235" s="551"/>
      <c r="B235" s="495"/>
      <c r="C235" s="495"/>
      <c r="D235" s="495"/>
      <c r="E235" s="495"/>
      <c r="F235" s="495"/>
      <c r="G235" s="495"/>
    </row>
    <row r="236" spans="1:7" ht="12.75">
      <c r="A236" s="500" t="s">
        <v>466</v>
      </c>
      <c r="B236" s="496"/>
      <c r="C236" s="496"/>
      <c r="D236" s="496"/>
      <c r="E236" s="496"/>
      <c r="F236" s="496"/>
      <c r="G236" s="496"/>
    </row>
    <row r="237" spans="1:7" ht="12.75">
      <c r="A237" s="552"/>
      <c r="B237" s="472" t="s">
        <v>207</v>
      </c>
      <c r="C237" s="472">
        <v>16</v>
      </c>
      <c r="D237" s="472" t="s">
        <v>494</v>
      </c>
      <c r="E237" s="472" t="s">
        <v>495</v>
      </c>
      <c r="F237" s="472" t="s">
        <v>496</v>
      </c>
      <c r="G237" s="472"/>
    </row>
    <row r="238" spans="1:7" ht="12.75">
      <c r="A238" s="491" t="s">
        <v>209</v>
      </c>
      <c r="B238" s="494" t="s">
        <v>301</v>
      </c>
      <c r="C238" s="494">
        <v>25</v>
      </c>
      <c r="D238" s="494" t="s">
        <v>463</v>
      </c>
      <c r="E238" s="494" t="s">
        <v>464</v>
      </c>
      <c r="F238" s="494" t="s">
        <v>465</v>
      </c>
      <c r="G238" s="494"/>
    </row>
    <row r="239" spans="1:7" ht="12.75">
      <c r="A239" s="551"/>
      <c r="B239" s="495"/>
      <c r="C239" s="495"/>
      <c r="D239" s="495"/>
      <c r="E239" s="495"/>
      <c r="F239" s="495"/>
      <c r="G239" s="495"/>
    </row>
    <row r="240" spans="1:7" ht="12.75">
      <c r="A240" s="500" t="s">
        <v>472</v>
      </c>
      <c r="B240" s="496"/>
      <c r="C240" s="496"/>
      <c r="D240" s="496"/>
      <c r="E240" s="496"/>
      <c r="F240" s="496"/>
      <c r="G240" s="496"/>
    </row>
    <row r="241" spans="1:7" ht="12.75">
      <c r="A241" s="552"/>
      <c r="B241" s="472" t="s">
        <v>207</v>
      </c>
      <c r="C241" s="472">
        <v>12</v>
      </c>
      <c r="D241" s="472" t="s">
        <v>476</v>
      </c>
      <c r="E241" s="472" t="s">
        <v>404</v>
      </c>
      <c r="F241" s="472" t="s">
        <v>497</v>
      </c>
      <c r="G241" s="472"/>
    </row>
    <row r="242" spans="1:7" ht="12.75">
      <c r="A242" s="491" t="s">
        <v>210</v>
      </c>
      <c r="B242" s="494" t="s">
        <v>301</v>
      </c>
      <c r="C242" s="494">
        <v>21</v>
      </c>
      <c r="D242" s="494" t="s">
        <v>469</v>
      </c>
      <c r="E242" s="494" t="s">
        <v>464</v>
      </c>
      <c r="F242" s="494" t="s">
        <v>471</v>
      </c>
      <c r="G242" s="494"/>
    </row>
    <row r="243" spans="1:7" ht="12.75">
      <c r="A243" s="551"/>
      <c r="B243" s="495"/>
      <c r="C243" s="495"/>
      <c r="D243" s="495"/>
      <c r="E243" s="495"/>
      <c r="F243" s="495"/>
      <c r="G243" s="495"/>
    </row>
    <row r="244" spans="1:7" ht="12.75">
      <c r="A244" s="500" t="s">
        <v>466</v>
      </c>
      <c r="B244" s="496"/>
      <c r="C244" s="496"/>
      <c r="D244" s="496"/>
      <c r="E244" s="496"/>
      <c r="F244" s="496"/>
      <c r="G244" s="496"/>
    </row>
    <row r="245" spans="1:7" ht="12.75">
      <c r="A245" s="552"/>
      <c r="B245" s="472" t="s">
        <v>207</v>
      </c>
      <c r="C245" s="472">
        <v>13</v>
      </c>
      <c r="D245" s="472" t="s">
        <v>498</v>
      </c>
      <c r="E245" s="472" t="s">
        <v>377</v>
      </c>
      <c r="F245" s="472" t="s">
        <v>499</v>
      </c>
      <c r="G245" s="472"/>
    </row>
    <row r="246" spans="1:7" ht="12.75">
      <c r="A246" s="491" t="s">
        <v>210</v>
      </c>
      <c r="B246" s="494" t="s">
        <v>301</v>
      </c>
      <c r="C246" s="494">
        <v>26</v>
      </c>
      <c r="D246" s="494" t="s">
        <v>469</v>
      </c>
      <c r="E246" s="494" t="s">
        <v>464</v>
      </c>
      <c r="F246" s="494" t="s">
        <v>471</v>
      </c>
      <c r="G246" s="494"/>
    </row>
    <row r="247" spans="1:7" ht="12.75">
      <c r="A247" s="551"/>
      <c r="B247" s="495"/>
      <c r="C247" s="495"/>
      <c r="D247" s="495"/>
      <c r="E247" s="495"/>
      <c r="F247" s="495"/>
      <c r="G247" s="495"/>
    </row>
    <row r="248" spans="1:7" ht="12.75">
      <c r="A248" s="500" t="s">
        <v>472</v>
      </c>
      <c r="B248" s="496"/>
      <c r="C248" s="496"/>
      <c r="D248" s="496"/>
      <c r="E248" s="496"/>
      <c r="F248" s="496"/>
      <c r="G248" s="496"/>
    </row>
    <row r="249" spans="1:7" ht="12.75">
      <c r="A249" s="552"/>
      <c r="B249" s="472" t="s">
        <v>207</v>
      </c>
      <c r="C249" s="472">
        <v>11</v>
      </c>
      <c r="D249" s="472" t="s">
        <v>500</v>
      </c>
      <c r="E249" s="472" t="s">
        <v>385</v>
      </c>
      <c r="F249" s="472" t="s">
        <v>501</v>
      </c>
      <c r="G249" s="472"/>
    </row>
    <row r="250" spans="1:7" ht="12.75">
      <c r="A250" s="491" t="s">
        <v>211</v>
      </c>
      <c r="B250" s="494" t="s">
        <v>301</v>
      </c>
      <c r="C250" s="494">
        <v>20</v>
      </c>
      <c r="D250" s="497">
        <v>33</v>
      </c>
      <c r="E250" s="497">
        <v>30</v>
      </c>
      <c r="F250" s="494" t="s">
        <v>463</v>
      </c>
      <c r="G250" s="494"/>
    </row>
    <row r="251" spans="1:7" ht="12.75">
      <c r="A251" s="551"/>
      <c r="B251" s="495"/>
      <c r="C251" s="495"/>
      <c r="D251" s="498"/>
      <c r="E251" s="498"/>
      <c r="F251" s="495"/>
      <c r="G251" s="495"/>
    </row>
    <row r="252" spans="1:7" ht="12.75">
      <c r="A252" s="500" t="s">
        <v>466</v>
      </c>
      <c r="B252" s="496"/>
      <c r="C252" s="496"/>
      <c r="D252" s="499"/>
      <c r="E252" s="499"/>
      <c r="F252" s="496"/>
      <c r="G252" s="496"/>
    </row>
    <row r="253" spans="1:7" ht="12.75">
      <c r="A253" s="552"/>
      <c r="B253" s="472" t="s">
        <v>207</v>
      </c>
      <c r="C253" s="472">
        <v>14</v>
      </c>
      <c r="D253" s="472" t="s">
        <v>502</v>
      </c>
      <c r="E253" s="472">
        <v>164</v>
      </c>
      <c r="F253" s="474">
        <v>306</v>
      </c>
      <c r="G253" s="472"/>
    </row>
    <row r="254" spans="1:7" ht="12.75">
      <c r="A254" s="491" t="s">
        <v>211</v>
      </c>
      <c r="B254" s="494" t="s">
        <v>301</v>
      </c>
      <c r="C254" s="494">
        <v>21</v>
      </c>
      <c r="D254" s="497">
        <v>32</v>
      </c>
      <c r="E254" s="494" t="s">
        <v>470</v>
      </c>
      <c r="F254" s="494" t="s">
        <v>469</v>
      </c>
      <c r="G254" s="494"/>
    </row>
    <row r="255" spans="1:7" ht="12.75">
      <c r="A255" s="551"/>
      <c r="B255" s="495"/>
      <c r="C255" s="495"/>
      <c r="D255" s="498"/>
      <c r="E255" s="495"/>
      <c r="F255" s="495"/>
      <c r="G255" s="495"/>
    </row>
    <row r="256" spans="1:7" ht="12.75">
      <c r="A256" s="500" t="s">
        <v>472</v>
      </c>
      <c r="B256" s="496"/>
      <c r="C256" s="496"/>
      <c r="D256" s="499"/>
      <c r="E256" s="496"/>
      <c r="F256" s="496"/>
      <c r="G256" s="496"/>
    </row>
    <row r="257" spans="1:7" ht="12.75">
      <c r="A257" s="552"/>
      <c r="B257" s="472" t="s">
        <v>207</v>
      </c>
      <c r="C257" s="472">
        <v>9</v>
      </c>
      <c r="D257" s="472" t="s">
        <v>503</v>
      </c>
      <c r="E257" s="472" t="s">
        <v>504</v>
      </c>
      <c r="F257" s="472" t="s">
        <v>505</v>
      </c>
      <c r="G257" s="472"/>
    </row>
    <row r="258" spans="1:7" ht="12.75">
      <c r="A258" s="491" t="s">
        <v>212</v>
      </c>
      <c r="B258" s="494" t="s">
        <v>301</v>
      </c>
      <c r="C258" s="494">
        <v>4</v>
      </c>
      <c r="D258" s="494" t="s">
        <v>469</v>
      </c>
      <c r="E258" s="494"/>
      <c r="F258" s="494"/>
      <c r="G258" s="494"/>
    </row>
    <row r="259" spans="1:7" ht="12.75">
      <c r="A259" s="551"/>
      <c r="B259" s="495"/>
      <c r="C259" s="495"/>
      <c r="D259" s="495"/>
      <c r="E259" s="495"/>
      <c r="F259" s="495"/>
      <c r="G259" s="495"/>
    </row>
    <row r="260" spans="1:7" ht="12.75">
      <c r="A260" s="500" t="s">
        <v>472</v>
      </c>
      <c r="B260" s="495"/>
      <c r="C260" s="495"/>
      <c r="D260" s="495"/>
      <c r="E260" s="495"/>
      <c r="F260" s="495"/>
      <c r="G260" s="495"/>
    </row>
    <row r="261" spans="1:7" ht="12.75">
      <c r="A261" s="552"/>
      <c r="B261" s="496"/>
      <c r="C261" s="496"/>
      <c r="D261" s="496"/>
      <c r="E261" s="496"/>
      <c r="F261" s="496"/>
      <c r="G261" s="496"/>
    </row>
    <row r="262" spans="1:7" ht="12.75">
      <c r="A262" s="475" t="s">
        <v>488</v>
      </c>
      <c r="B262" s="472" t="s">
        <v>301</v>
      </c>
      <c r="C262" s="472">
        <v>6</v>
      </c>
      <c r="D262" s="472" t="s">
        <v>349</v>
      </c>
      <c r="E262" s="472"/>
      <c r="F262" s="472"/>
      <c r="G262" s="472"/>
    </row>
    <row r="263" spans="1:7" ht="12.75">
      <c r="A263" s="568"/>
      <c r="B263" s="568"/>
      <c r="C263" s="568"/>
      <c r="D263" s="568"/>
      <c r="E263" s="568"/>
      <c r="F263" s="568"/>
      <c r="G263" s="568"/>
    </row>
    <row r="264" spans="1:7" ht="12.75">
      <c r="A264" s="488" t="s">
        <v>506</v>
      </c>
      <c r="B264" s="488" t="s">
        <v>205</v>
      </c>
      <c r="C264" s="488" t="s">
        <v>295</v>
      </c>
      <c r="D264" s="488" t="s">
        <v>296</v>
      </c>
      <c r="E264" s="488" t="s">
        <v>297</v>
      </c>
      <c r="F264" s="488" t="s">
        <v>297</v>
      </c>
      <c r="G264" s="488" t="s">
        <v>298</v>
      </c>
    </row>
    <row r="265" spans="1:7" ht="12.75">
      <c r="A265" s="489"/>
      <c r="B265" s="489"/>
      <c r="C265" s="489"/>
      <c r="D265" s="489"/>
      <c r="E265" s="489"/>
      <c r="F265" s="467"/>
      <c r="G265" s="489"/>
    </row>
    <row r="266" spans="1:7" ht="12.75">
      <c r="A266" s="490"/>
      <c r="B266" s="490"/>
      <c r="C266" s="490"/>
      <c r="D266" s="490"/>
      <c r="E266" s="490" t="s">
        <v>299</v>
      </c>
      <c r="F266" s="490" t="s">
        <v>300</v>
      </c>
      <c r="G266" s="490"/>
    </row>
    <row r="267" spans="1:7" ht="12.75">
      <c r="A267" s="475" t="s">
        <v>53</v>
      </c>
      <c r="B267" s="472" t="s">
        <v>301</v>
      </c>
      <c r="C267" s="472">
        <v>29</v>
      </c>
      <c r="D267" s="472" t="s">
        <v>408</v>
      </c>
      <c r="E267" s="472" t="s">
        <v>332</v>
      </c>
      <c r="F267" s="472" t="s">
        <v>314</v>
      </c>
      <c r="G267" s="472" t="s">
        <v>322</v>
      </c>
    </row>
    <row r="268" spans="1:7" ht="12.75">
      <c r="A268" s="491" t="s">
        <v>507</v>
      </c>
      <c r="B268" s="494" t="s">
        <v>301</v>
      </c>
      <c r="C268" s="494">
        <v>10</v>
      </c>
      <c r="D268" s="494" t="s">
        <v>508</v>
      </c>
      <c r="E268" s="494" t="s">
        <v>313</v>
      </c>
      <c r="F268" s="494" t="s">
        <v>465</v>
      </c>
      <c r="G268" s="494" t="s">
        <v>509</v>
      </c>
    </row>
    <row r="269" spans="1:7" ht="12.75">
      <c r="A269" s="551"/>
      <c r="B269" s="495"/>
      <c r="C269" s="495"/>
      <c r="D269" s="495"/>
      <c r="E269" s="495"/>
      <c r="F269" s="495"/>
      <c r="G269" s="495"/>
    </row>
    <row r="270" spans="1:7" ht="12.75">
      <c r="A270" s="500" t="s">
        <v>510</v>
      </c>
      <c r="B270" s="496"/>
      <c r="C270" s="496"/>
      <c r="D270" s="496"/>
      <c r="E270" s="496"/>
      <c r="F270" s="496"/>
      <c r="G270" s="496"/>
    </row>
    <row r="271" spans="1:7" ht="12.75">
      <c r="A271" s="552"/>
      <c r="B271" s="472" t="s">
        <v>207</v>
      </c>
      <c r="C271" s="472">
        <v>5</v>
      </c>
      <c r="D271" s="472" t="s">
        <v>511</v>
      </c>
      <c r="E271" s="472"/>
      <c r="F271" s="472"/>
      <c r="G271" s="472"/>
    </row>
    <row r="272" spans="1:7" ht="12.75">
      <c r="A272" s="491" t="s">
        <v>507</v>
      </c>
      <c r="B272" s="494" t="s">
        <v>301</v>
      </c>
      <c r="C272" s="494">
        <v>26</v>
      </c>
      <c r="D272" s="494" t="s">
        <v>465</v>
      </c>
      <c r="E272" s="494" t="s">
        <v>469</v>
      </c>
      <c r="F272" s="494" t="s">
        <v>427</v>
      </c>
      <c r="G272" s="494" t="s">
        <v>463</v>
      </c>
    </row>
    <row r="273" spans="1:7" ht="12.75">
      <c r="A273" s="551"/>
      <c r="B273" s="495"/>
      <c r="C273" s="495"/>
      <c r="D273" s="495"/>
      <c r="E273" s="495"/>
      <c r="F273" s="495"/>
      <c r="G273" s="495"/>
    </row>
    <row r="274" spans="1:7" ht="25.5">
      <c r="A274" s="500" t="s">
        <v>512</v>
      </c>
      <c r="B274" s="496"/>
      <c r="C274" s="496"/>
      <c r="D274" s="496"/>
      <c r="E274" s="496"/>
      <c r="F274" s="496"/>
      <c r="G274" s="496"/>
    </row>
    <row r="275" spans="1:7" ht="12.75">
      <c r="A275" s="552"/>
      <c r="B275" s="472" t="s">
        <v>207</v>
      </c>
      <c r="C275" s="472">
        <v>10</v>
      </c>
      <c r="D275" s="472" t="s">
        <v>513</v>
      </c>
      <c r="E275" s="472" t="s">
        <v>514</v>
      </c>
      <c r="F275" s="472">
        <v>383</v>
      </c>
      <c r="G275" s="472"/>
    </row>
    <row r="276" spans="1:7" ht="12.75">
      <c r="A276" s="491" t="s">
        <v>507</v>
      </c>
      <c r="B276" s="494" t="s">
        <v>301</v>
      </c>
      <c r="C276" s="494">
        <v>7</v>
      </c>
      <c r="D276" s="494" t="s">
        <v>515</v>
      </c>
      <c r="E276" s="494" t="s">
        <v>493</v>
      </c>
      <c r="F276" s="494" t="s">
        <v>516</v>
      </c>
      <c r="G276" s="494" t="s">
        <v>490</v>
      </c>
    </row>
    <row r="277" spans="1:7" ht="12.75">
      <c r="A277" s="551"/>
      <c r="B277" s="495"/>
      <c r="C277" s="495"/>
      <c r="D277" s="495"/>
      <c r="E277" s="495"/>
      <c r="F277" s="495"/>
      <c r="G277" s="495"/>
    </row>
    <row r="278" spans="1:7" ht="25.5">
      <c r="A278" s="500" t="s">
        <v>517</v>
      </c>
      <c r="B278" s="496"/>
      <c r="C278" s="496"/>
      <c r="D278" s="496"/>
      <c r="E278" s="496"/>
      <c r="F278" s="496"/>
      <c r="G278" s="496"/>
    </row>
    <row r="279" spans="1:7" ht="12.75">
      <c r="A279" s="552"/>
      <c r="B279" s="472" t="s">
        <v>207</v>
      </c>
      <c r="C279" s="472">
        <v>3</v>
      </c>
      <c r="D279" s="472" t="s">
        <v>518</v>
      </c>
      <c r="E279" s="472"/>
      <c r="F279" s="472"/>
      <c r="G279" s="472"/>
    </row>
    <row r="280" spans="1:7" ht="12.75">
      <c r="A280" s="491" t="s">
        <v>519</v>
      </c>
      <c r="B280" s="494" t="s">
        <v>301</v>
      </c>
      <c r="C280" s="494">
        <v>12</v>
      </c>
      <c r="D280" s="494" t="s">
        <v>483</v>
      </c>
      <c r="E280" s="494" t="s">
        <v>414</v>
      </c>
      <c r="F280" s="494" t="s">
        <v>520</v>
      </c>
      <c r="G280" s="494"/>
    </row>
    <row r="281" spans="1:7" ht="12.75">
      <c r="A281" s="551"/>
      <c r="B281" s="495"/>
      <c r="C281" s="495"/>
      <c r="D281" s="495"/>
      <c r="E281" s="495"/>
      <c r="F281" s="495"/>
      <c r="G281" s="495"/>
    </row>
    <row r="282" spans="1:7" ht="12.75">
      <c r="A282" s="500" t="s">
        <v>521</v>
      </c>
      <c r="B282" s="496"/>
      <c r="C282" s="496"/>
      <c r="D282" s="496"/>
      <c r="E282" s="496"/>
      <c r="F282" s="496"/>
      <c r="G282" s="496"/>
    </row>
    <row r="283" spans="1:7" ht="12.75">
      <c r="A283" s="552"/>
      <c r="B283" s="472" t="s">
        <v>207</v>
      </c>
      <c r="C283" s="472">
        <v>6</v>
      </c>
      <c r="D283" s="472" t="s">
        <v>522</v>
      </c>
      <c r="E283" s="472"/>
      <c r="F283" s="472"/>
      <c r="G283" s="472"/>
    </row>
    <row r="284" spans="1:7" ht="12.75">
      <c r="A284" s="491" t="s">
        <v>519</v>
      </c>
      <c r="B284" s="494" t="s">
        <v>301</v>
      </c>
      <c r="C284" s="494">
        <v>10</v>
      </c>
      <c r="D284" s="494" t="s">
        <v>523</v>
      </c>
      <c r="E284" s="494" t="s">
        <v>520</v>
      </c>
      <c r="F284" s="494" t="s">
        <v>442</v>
      </c>
      <c r="G284" s="494"/>
    </row>
    <row r="285" spans="1:7" ht="12.75">
      <c r="A285" s="551"/>
      <c r="B285" s="495"/>
      <c r="C285" s="495"/>
      <c r="D285" s="495"/>
      <c r="E285" s="495"/>
      <c r="F285" s="495"/>
      <c r="G285" s="495"/>
    </row>
    <row r="286" spans="1:7" ht="12.75">
      <c r="A286" s="500" t="s">
        <v>524</v>
      </c>
      <c r="B286" s="496"/>
      <c r="C286" s="496"/>
      <c r="D286" s="496"/>
      <c r="E286" s="496"/>
      <c r="F286" s="496"/>
      <c r="G286" s="496"/>
    </row>
    <row r="287" spans="1:7" ht="12.75">
      <c r="A287" s="552"/>
      <c r="B287" s="472" t="s">
        <v>207</v>
      </c>
      <c r="C287" s="472">
        <v>3</v>
      </c>
      <c r="D287" s="472" t="s">
        <v>525</v>
      </c>
      <c r="E287" s="472"/>
      <c r="F287" s="472"/>
      <c r="G287" s="472"/>
    </row>
    <row r="288" spans="1:7" ht="12.75">
      <c r="A288" s="568"/>
      <c r="B288" s="568"/>
      <c r="C288" s="568"/>
      <c r="D288" s="568"/>
      <c r="E288" s="568"/>
      <c r="F288" s="568"/>
      <c r="G288" s="568"/>
    </row>
    <row r="289" spans="1:7" ht="12.75">
      <c r="A289" s="488" t="s">
        <v>217</v>
      </c>
      <c r="B289" s="488" t="s">
        <v>205</v>
      </c>
      <c r="C289" s="488" t="s">
        <v>295</v>
      </c>
      <c r="D289" s="488" t="s">
        <v>296</v>
      </c>
      <c r="E289" s="488" t="s">
        <v>297</v>
      </c>
      <c r="F289" s="488" t="s">
        <v>297</v>
      </c>
      <c r="G289" s="488" t="s">
        <v>298</v>
      </c>
    </row>
    <row r="290" spans="1:7" ht="12.75">
      <c r="A290" s="489"/>
      <c r="B290" s="489"/>
      <c r="C290" s="489"/>
      <c r="D290" s="489"/>
      <c r="E290" s="467"/>
      <c r="F290" s="467"/>
      <c r="G290" s="489"/>
    </row>
    <row r="291" spans="1:7" ht="12.75">
      <c r="A291" s="490"/>
      <c r="B291" s="490"/>
      <c r="C291" s="490"/>
      <c r="D291" s="490"/>
      <c r="E291" s="490" t="s">
        <v>299</v>
      </c>
      <c r="F291" s="490" t="s">
        <v>300</v>
      </c>
      <c r="G291" s="490"/>
    </row>
    <row r="292" spans="1:7" ht="12.75">
      <c r="A292" s="491" t="s">
        <v>526</v>
      </c>
      <c r="B292" s="472" t="s">
        <v>527</v>
      </c>
      <c r="C292" s="472">
        <v>15</v>
      </c>
      <c r="D292" s="472" t="s">
        <v>528</v>
      </c>
      <c r="E292" s="472" t="s">
        <v>529</v>
      </c>
      <c r="F292" s="472" t="s">
        <v>528</v>
      </c>
      <c r="G292" s="472" t="s">
        <v>530</v>
      </c>
    </row>
    <row r="293" spans="1:7" ht="12.75">
      <c r="A293" s="500"/>
      <c r="B293" s="472" t="s">
        <v>208</v>
      </c>
      <c r="C293" s="472">
        <v>76</v>
      </c>
      <c r="D293" s="472" t="s">
        <v>351</v>
      </c>
      <c r="E293" s="472" t="s">
        <v>349</v>
      </c>
      <c r="F293" s="472" t="s">
        <v>328</v>
      </c>
      <c r="G293" s="472" t="s">
        <v>351</v>
      </c>
    </row>
    <row r="294" spans="1:7" ht="12.75">
      <c r="A294" s="492"/>
      <c r="B294" s="472" t="s">
        <v>531</v>
      </c>
      <c r="C294" s="472">
        <v>19</v>
      </c>
      <c r="D294" s="472" t="s">
        <v>333</v>
      </c>
      <c r="E294" s="472" t="s">
        <v>349</v>
      </c>
      <c r="F294" s="472" t="s">
        <v>332</v>
      </c>
      <c r="G294" s="472" t="s">
        <v>333</v>
      </c>
    </row>
    <row r="295" spans="1:7" ht="12.75">
      <c r="A295" s="501"/>
      <c r="B295" s="501"/>
      <c r="C295" s="501"/>
      <c r="D295" s="501"/>
      <c r="E295" s="501"/>
      <c r="F295" s="501"/>
      <c r="G295" s="501"/>
    </row>
    <row r="296" spans="1:7" ht="12.75">
      <c r="A296" s="566" t="s">
        <v>461</v>
      </c>
      <c r="B296" s="566"/>
      <c r="C296" s="566"/>
      <c r="D296" s="566"/>
      <c r="E296" s="566"/>
      <c r="F296" s="566"/>
      <c r="G296" s="566"/>
    </row>
    <row r="297" spans="1:7" ht="12.75">
      <c r="A297" s="567"/>
      <c r="B297" s="567"/>
      <c r="C297" s="567"/>
      <c r="D297" s="567"/>
      <c r="E297" s="567"/>
      <c r="F297" s="567"/>
      <c r="G297" s="567"/>
    </row>
    <row r="298" spans="1:7" ht="12.75">
      <c r="A298" s="488" t="s">
        <v>532</v>
      </c>
      <c r="B298" s="488" t="s">
        <v>205</v>
      </c>
      <c r="C298" s="488" t="s">
        <v>295</v>
      </c>
      <c r="D298" s="488" t="s">
        <v>296</v>
      </c>
      <c r="E298" s="488" t="s">
        <v>297</v>
      </c>
      <c r="F298" s="488" t="s">
        <v>297</v>
      </c>
      <c r="G298" s="488" t="s">
        <v>298</v>
      </c>
    </row>
    <row r="299" spans="1:7" ht="12.75">
      <c r="A299" s="489" t="s">
        <v>533</v>
      </c>
      <c r="B299" s="489"/>
      <c r="C299" s="489"/>
      <c r="D299" s="489"/>
      <c r="E299" s="467"/>
      <c r="F299" s="467"/>
      <c r="G299" s="489"/>
    </row>
    <row r="300" spans="1:7" ht="12.75">
      <c r="A300" s="490"/>
      <c r="B300" s="490"/>
      <c r="C300" s="490"/>
      <c r="D300" s="490"/>
      <c r="E300" s="490" t="s">
        <v>299</v>
      </c>
      <c r="F300" s="490" t="s">
        <v>300</v>
      </c>
      <c r="G300" s="490"/>
    </row>
    <row r="301" spans="1:7" ht="12.75">
      <c r="A301" s="491" t="s">
        <v>213</v>
      </c>
      <c r="B301" s="472" t="s">
        <v>301</v>
      </c>
      <c r="C301" s="472" t="s">
        <v>534</v>
      </c>
      <c r="D301" s="472" t="s">
        <v>312</v>
      </c>
      <c r="E301" s="472" t="s">
        <v>320</v>
      </c>
      <c r="F301" s="472" t="s">
        <v>314</v>
      </c>
      <c r="G301" s="472" t="s">
        <v>408</v>
      </c>
    </row>
    <row r="302" spans="1:7" ht="12.75">
      <c r="A302" s="492"/>
      <c r="B302" s="472" t="s">
        <v>207</v>
      </c>
      <c r="C302" s="472" t="s">
        <v>535</v>
      </c>
      <c r="D302" s="472" t="s">
        <v>536</v>
      </c>
      <c r="E302" s="472" t="s">
        <v>489</v>
      </c>
      <c r="F302" s="472" t="s">
        <v>537</v>
      </c>
      <c r="G302" s="472" t="s">
        <v>538</v>
      </c>
    </row>
    <row r="303" spans="1:7" ht="12.75">
      <c r="A303" s="491" t="s">
        <v>539</v>
      </c>
      <c r="B303" s="472" t="s">
        <v>301</v>
      </c>
      <c r="C303" s="472" t="s">
        <v>540</v>
      </c>
      <c r="D303" s="472" t="s">
        <v>351</v>
      </c>
      <c r="E303" s="472" t="s">
        <v>349</v>
      </c>
      <c r="F303" s="472" t="s">
        <v>328</v>
      </c>
      <c r="G303" s="472" t="s">
        <v>351</v>
      </c>
    </row>
    <row r="304" spans="1:7" ht="12.75">
      <c r="A304" s="492"/>
      <c r="B304" s="472" t="s">
        <v>207</v>
      </c>
      <c r="C304" s="472" t="s">
        <v>541</v>
      </c>
      <c r="D304" s="472" t="s">
        <v>542</v>
      </c>
      <c r="E304" s="472" t="s">
        <v>463</v>
      </c>
      <c r="F304" s="472" t="s">
        <v>324</v>
      </c>
      <c r="G304" s="472" t="s">
        <v>493</v>
      </c>
    </row>
    <row r="305" spans="1:7" ht="12.75">
      <c r="A305" s="475" t="s">
        <v>543</v>
      </c>
      <c r="B305" s="472" t="s">
        <v>544</v>
      </c>
      <c r="C305" s="472" t="s">
        <v>545</v>
      </c>
      <c r="D305" s="472" t="s">
        <v>546</v>
      </c>
      <c r="E305" s="472" t="s">
        <v>547</v>
      </c>
      <c r="F305" s="472" t="s">
        <v>548</v>
      </c>
      <c r="G305" s="472" t="s">
        <v>549</v>
      </c>
    </row>
    <row r="306" spans="1:7" ht="25.5">
      <c r="A306" s="475" t="s">
        <v>550</v>
      </c>
      <c r="B306" s="472" t="s">
        <v>544</v>
      </c>
      <c r="C306" s="472" t="s">
        <v>551</v>
      </c>
      <c r="D306" s="472" t="s">
        <v>552</v>
      </c>
      <c r="E306" s="472" t="s">
        <v>547</v>
      </c>
      <c r="F306" s="472" t="s">
        <v>553</v>
      </c>
      <c r="G306" s="472" t="s">
        <v>549</v>
      </c>
    </row>
    <row r="307" spans="1:7" ht="12.75">
      <c r="A307" s="475" t="s">
        <v>554</v>
      </c>
      <c r="B307" s="472" t="s">
        <v>214</v>
      </c>
      <c r="C307" s="472" t="s">
        <v>555</v>
      </c>
      <c r="D307" s="472" t="s">
        <v>556</v>
      </c>
      <c r="E307" s="472" t="s">
        <v>556</v>
      </c>
      <c r="F307" s="472" t="s">
        <v>556</v>
      </c>
      <c r="G307" s="472" t="s">
        <v>556</v>
      </c>
    </row>
    <row r="308" spans="1:7" ht="25.5">
      <c r="A308" s="475" t="s">
        <v>557</v>
      </c>
      <c r="B308" s="472" t="s">
        <v>544</v>
      </c>
      <c r="C308" s="472" t="s">
        <v>558</v>
      </c>
      <c r="D308" s="472" t="s">
        <v>351</v>
      </c>
      <c r="E308" s="472" t="s">
        <v>351</v>
      </c>
      <c r="F308" s="472" t="s">
        <v>351</v>
      </c>
      <c r="G308" s="472" t="s">
        <v>351</v>
      </c>
    </row>
    <row r="309" spans="1:7" ht="25.5">
      <c r="A309" s="475" t="s">
        <v>559</v>
      </c>
      <c r="B309" s="472" t="s">
        <v>544</v>
      </c>
      <c r="C309" s="472" t="s">
        <v>560</v>
      </c>
      <c r="D309" s="472" t="s">
        <v>333</v>
      </c>
      <c r="E309" s="472" t="s">
        <v>351</v>
      </c>
      <c r="F309" s="472" t="s">
        <v>328</v>
      </c>
      <c r="G309" s="472" t="s">
        <v>333</v>
      </c>
    </row>
    <row r="310" spans="1:7" ht="12.75">
      <c r="A310" s="475" t="s">
        <v>561</v>
      </c>
      <c r="B310" s="472" t="s">
        <v>544</v>
      </c>
      <c r="C310" s="472" t="s">
        <v>562</v>
      </c>
      <c r="D310" s="472" t="s">
        <v>332</v>
      </c>
      <c r="E310" s="472" t="s">
        <v>351</v>
      </c>
      <c r="F310" s="472" t="s">
        <v>408</v>
      </c>
      <c r="G310" s="472"/>
    </row>
    <row r="311" spans="1:7" ht="12.75">
      <c r="A311" s="568"/>
      <c r="B311" s="568"/>
      <c r="C311" s="568"/>
      <c r="D311" s="568"/>
      <c r="E311" s="568"/>
      <c r="F311" s="568"/>
      <c r="G311" s="568"/>
    </row>
    <row r="312" spans="1:7" ht="12.75">
      <c r="A312" s="488" t="s">
        <v>532</v>
      </c>
      <c r="B312" s="488" t="s">
        <v>205</v>
      </c>
      <c r="C312" s="488" t="s">
        <v>295</v>
      </c>
      <c r="D312" s="488" t="s">
        <v>296</v>
      </c>
      <c r="E312" s="488" t="s">
        <v>297</v>
      </c>
      <c r="F312" s="488" t="s">
        <v>297</v>
      </c>
      <c r="G312" s="488" t="s">
        <v>298</v>
      </c>
    </row>
    <row r="313" spans="1:7" ht="12.75">
      <c r="A313" s="489" t="s">
        <v>563</v>
      </c>
      <c r="B313" s="489"/>
      <c r="C313" s="489"/>
      <c r="D313" s="489"/>
      <c r="E313" s="467"/>
      <c r="F313" s="467"/>
      <c r="G313" s="489"/>
    </row>
    <row r="314" spans="1:7" ht="12.75">
      <c r="A314" s="490"/>
      <c r="B314" s="490"/>
      <c r="C314" s="490"/>
      <c r="D314" s="490"/>
      <c r="E314" s="490" t="s">
        <v>299</v>
      </c>
      <c r="F314" s="490" t="s">
        <v>300</v>
      </c>
      <c r="G314" s="490"/>
    </row>
    <row r="315" spans="1:7" ht="12.75">
      <c r="A315" s="475" t="s">
        <v>564</v>
      </c>
      <c r="B315" s="472" t="s">
        <v>544</v>
      </c>
      <c r="C315" s="472" t="s">
        <v>565</v>
      </c>
      <c r="D315" s="472" t="s">
        <v>566</v>
      </c>
      <c r="E315" s="472" t="s">
        <v>567</v>
      </c>
      <c r="F315" s="472" t="s">
        <v>568</v>
      </c>
      <c r="G315" s="472" t="s">
        <v>569</v>
      </c>
    </row>
    <row r="316" spans="1:7" ht="12.75">
      <c r="A316" s="475" t="s">
        <v>570</v>
      </c>
      <c r="B316" s="472" t="s">
        <v>544</v>
      </c>
      <c r="C316" s="472" t="s">
        <v>545</v>
      </c>
      <c r="D316" s="472" t="s">
        <v>569</v>
      </c>
      <c r="E316" s="472" t="s">
        <v>567</v>
      </c>
      <c r="F316" s="472" t="s">
        <v>571</v>
      </c>
      <c r="G316" s="472" t="s">
        <v>567</v>
      </c>
    </row>
    <row r="317" spans="1:7" ht="12.75">
      <c r="A317" s="568"/>
      <c r="B317" s="568"/>
      <c r="C317" s="568"/>
      <c r="D317" s="568"/>
      <c r="E317" s="568"/>
      <c r="F317" s="568"/>
      <c r="G317" s="568"/>
    </row>
    <row r="318" spans="1:7" ht="12.75">
      <c r="A318" s="488" t="s">
        <v>572</v>
      </c>
      <c r="B318" s="488" t="s">
        <v>205</v>
      </c>
      <c r="C318" s="488" t="s">
        <v>295</v>
      </c>
      <c r="D318" s="488" t="s">
        <v>296</v>
      </c>
      <c r="E318" s="488" t="s">
        <v>297</v>
      </c>
      <c r="F318" s="488" t="s">
        <v>297</v>
      </c>
      <c r="G318" s="488" t="s">
        <v>298</v>
      </c>
    </row>
    <row r="319" spans="1:7" ht="12.75">
      <c r="A319" s="489"/>
      <c r="B319" s="489"/>
      <c r="C319" s="489"/>
      <c r="D319" s="489"/>
      <c r="E319" s="467"/>
      <c r="F319" s="467"/>
      <c r="G319" s="489"/>
    </row>
    <row r="320" spans="1:7" ht="12.75">
      <c r="A320" s="490"/>
      <c r="B320" s="490"/>
      <c r="C320" s="490"/>
      <c r="D320" s="490"/>
      <c r="E320" s="490" t="s">
        <v>299</v>
      </c>
      <c r="F320" s="490" t="s">
        <v>300</v>
      </c>
      <c r="G320" s="490"/>
    </row>
    <row r="321" spans="1:7" ht="12.75">
      <c r="A321" s="475" t="s">
        <v>573</v>
      </c>
      <c r="B321" s="472" t="s">
        <v>544</v>
      </c>
      <c r="C321" s="472" t="s">
        <v>541</v>
      </c>
      <c r="D321" s="472" t="s">
        <v>574</v>
      </c>
      <c r="E321" s="472" t="s">
        <v>575</v>
      </c>
      <c r="F321" s="472" t="s">
        <v>576</v>
      </c>
      <c r="G321" s="472"/>
    </row>
    <row r="322" spans="1:7" ht="12.75">
      <c r="A322" s="475" t="s">
        <v>554</v>
      </c>
      <c r="B322" s="472" t="s">
        <v>214</v>
      </c>
      <c r="C322" s="472" t="s">
        <v>562</v>
      </c>
      <c r="D322" s="472" t="s">
        <v>577</v>
      </c>
      <c r="E322" s="472"/>
      <c r="F322" s="472"/>
      <c r="G322" s="472"/>
    </row>
    <row r="323" spans="1:7" ht="12.75">
      <c r="A323" s="475" t="s">
        <v>578</v>
      </c>
      <c r="B323" s="472" t="s">
        <v>544</v>
      </c>
      <c r="C323" s="472" t="s">
        <v>579</v>
      </c>
      <c r="D323" s="472" t="s">
        <v>571</v>
      </c>
      <c r="E323" s="472" t="s">
        <v>566</v>
      </c>
      <c r="F323" s="472" t="s">
        <v>568</v>
      </c>
      <c r="G323" s="472"/>
    </row>
    <row r="324" spans="1:7" ht="12.75">
      <c r="A324" s="475" t="s">
        <v>580</v>
      </c>
      <c r="B324" s="472" t="s">
        <v>544</v>
      </c>
      <c r="C324" s="472" t="s">
        <v>562</v>
      </c>
      <c r="D324" s="472" t="s">
        <v>568</v>
      </c>
      <c r="E324" s="472"/>
      <c r="F324" s="472"/>
      <c r="G324" s="472"/>
    </row>
    <row r="325" spans="1:7" ht="12.75">
      <c r="A325" s="568"/>
      <c r="B325" s="568"/>
      <c r="C325" s="568"/>
      <c r="D325" s="568"/>
      <c r="E325" s="568"/>
      <c r="F325" s="568"/>
      <c r="G325" s="568"/>
    </row>
    <row r="326" spans="1:7" ht="12.75">
      <c r="A326" s="488" t="s">
        <v>581</v>
      </c>
      <c r="B326" s="488" t="s">
        <v>205</v>
      </c>
      <c r="C326" s="488" t="s">
        <v>295</v>
      </c>
      <c r="D326" s="488" t="s">
        <v>296</v>
      </c>
      <c r="E326" s="488" t="s">
        <v>297</v>
      </c>
      <c r="F326" s="488" t="s">
        <v>297</v>
      </c>
      <c r="G326" s="488" t="s">
        <v>298</v>
      </c>
    </row>
    <row r="327" spans="1:7" ht="12.75">
      <c r="A327" s="489"/>
      <c r="B327" s="489"/>
      <c r="C327" s="489"/>
      <c r="D327" s="489"/>
      <c r="E327" s="467"/>
      <c r="F327" s="467"/>
      <c r="G327" s="489"/>
    </row>
    <row r="328" spans="1:7" ht="12.75">
      <c r="A328" s="490"/>
      <c r="B328" s="490"/>
      <c r="C328" s="490"/>
      <c r="D328" s="490"/>
      <c r="E328" s="490" t="s">
        <v>299</v>
      </c>
      <c r="F328" s="490" t="s">
        <v>300</v>
      </c>
      <c r="G328" s="490"/>
    </row>
    <row r="329" spans="1:7" ht="12.75">
      <c r="A329" s="491" t="s">
        <v>582</v>
      </c>
      <c r="B329" s="494" t="s">
        <v>301</v>
      </c>
      <c r="C329" s="494" t="s">
        <v>562</v>
      </c>
      <c r="D329" s="494" t="s">
        <v>538</v>
      </c>
      <c r="E329" s="494"/>
      <c r="F329" s="494"/>
      <c r="G329" s="494"/>
    </row>
    <row r="330" spans="1:7" ht="12.75">
      <c r="A330" s="551"/>
      <c r="B330" s="495"/>
      <c r="C330" s="495"/>
      <c r="D330" s="495"/>
      <c r="E330" s="495"/>
      <c r="F330" s="495"/>
      <c r="G330" s="495"/>
    </row>
    <row r="331" spans="1:7" ht="12.75">
      <c r="A331" s="500" t="s">
        <v>583</v>
      </c>
      <c r="B331" s="496"/>
      <c r="C331" s="496"/>
      <c r="D331" s="496"/>
      <c r="E331" s="496"/>
      <c r="F331" s="496"/>
      <c r="G331" s="496"/>
    </row>
    <row r="332" spans="1:7" ht="12.75">
      <c r="A332" s="552"/>
      <c r="B332" s="472" t="s">
        <v>207</v>
      </c>
      <c r="C332" s="472" t="s">
        <v>584</v>
      </c>
      <c r="D332" s="472" t="s">
        <v>371</v>
      </c>
      <c r="E332" s="472" t="s">
        <v>431</v>
      </c>
      <c r="F332" s="472" t="s">
        <v>373</v>
      </c>
      <c r="G332" s="472"/>
    </row>
    <row r="333" spans="1:7" ht="12.75">
      <c r="A333" s="491" t="s">
        <v>582</v>
      </c>
      <c r="B333" s="494" t="s">
        <v>301</v>
      </c>
      <c r="C333" s="494" t="s">
        <v>585</v>
      </c>
      <c r="D333" s="494" t="s">
        <v>307</v>
      </c>
      <c r="E333" s="494"/>
      <c r="F333" s="494"/>
      <c r="G333" s="494"/>
    </row>
    <row r="334" spans="1:7" ht="12.75">
      <c r="A334" s="551"/>
      <c r="B334" s="495"/>
      <c r="C334" s="495"/>
      <c r="D334" s="495"/>
      <c r="E334" s="495"/>
      <c r="F334" s="495"/>
      <c r="G334" s="495"/>
    </row>
    <row r="335" spans="1:7" ht="12.75">
      <c r="A335" s="500" t="s">
        <v>586</v>
      </c>
      <c r="B335" s="496"/>
      <c r="C335" s="496"/>
      <c r="D335" s="496"/>
      <c r="E335" s="496"/>
      <c r="F335" s="496"/>
      <c r="G335" s="496"/>
    </row>
    <row r="336" spans="1:7" ht="12.75">
      <c r="A336" s="552"/>
      <c r="B336" s="472" t="s">
        <v>207</v>
      </c>
      <c r="C336" s="472" t="s">
        <v>587</v>
      </c>
      <c r="D336" s="472" t="s">
        <v>588</v>
      </c>
      <c r="E336" s="472" t="s">
        <v>589</v>
      </c>
      <c r="F336" s="472" t="s">
        <v>389</v>
      </c>
      <c r="G336" s="472"/>
    </row>
    <row r="337" spans="1:7" ht="12.75">
      <c r="A337" s="491" t="s">
        <v>590</v>
      </c>
      <c r="B337" s="494" t="s">
        <v>301</v>
      </c>
      <c r="C337" s="494" t="s">
        <v>591</v>
      </c>
      <c r="D337" s="494" t="s">
        <v>592</v>
      </c>
      <c r="E337" s="494"/>
      <c r="F337" s="494"/>
      <c r="G337" s="494"/>
    </row>
    <row r="338" spans="1:7" ht="12.75">
      <c r="A338" s="551"/>
      <c r="B338" s="495"/>
      <c r="C338" s="495"/>
      <c r="D338" s="495"/>
      <c r="E338" s="495"/>
      <c r="F338" s="495"/>
      <c r="G338" s="495"/>
    </row>
    <row r="339" spans="1:7" ht="12.75">
      <c r="A339" s="500" t="s">
        <v>593</v>
      </c>
      <c r="B339" s="496"/>
      <c r="C339" s="496"/>
      <c r="D339" s="496"/>
      <c r="E339" s="496"/>
      <c r="F339" s="496"/>
      <c r="G339" s="496"/>
    </row>
    <row r="340" spans="1:7" ht="12.75">
      <c r="A340" s="552"/>
      <c r="B340" s="472" t="s">
        <v>207</v>
      </c>
      <c r="C340" s="472" t="s">
        <v>585</v>
      </c>
      <c r="D340" s="472" t="s">
        <v>594</v>
      </c>
      <c r="E340" s="472"/>
      <c r="F340" s="472"/>
      <c r="G340" s="472"/>
    </row>
    <row r="341" spans="1:7" ht="12.75">
      <c r="A341" s="491" t="s">
        <v>590</v>
      </c>
      <c r="B341" s="494" t="s">
        <v>301</v>
      </c>
      <c r="C341" s="494" t="s">
        <v>591</v>
      </c>
      <c r="D341" s="494" t="s">
        <v>595</v>
      </c>
      <c r="E341" s="494"/>
      <c r="F341" s="494"/>
      <c r="G341" s="494"/>
    </row>
    <row r="342" spans="1:7" ht="12.75">
      <c r="A342" s="551"/>
      <c r="B342" s="495"/>
      <c r="C342" s="495"/>
      <c r="D342" s="495"/>
      <c r="E342" s="495"/>
      <c r="F342" s="495"/>
      <c r="G342" s="495"/>
    </row>
    <row r="343" spans="1:7" ht="12.75">
      <c r="A343" s="500" t="s">
        <v>586</v>
      </c>
      <c r="B343" s="496"/>
      <c r="C343" s="496"/>
      <c r="D343" s="496"/>
      <c r="E343" s="496"/>
      <c r="F343" s="496"/>
      <c r="G343" s="496"/>
    </row>
    <row r="344" spans="1:7" ht="12.75">
      <c r="A344" s="552"/>
      <c r="B344" s="472" t="s">
        <v>207</v>
      </c>
      <c r="C344" s="472" t="s">
        <v>541</v>
      </c>
      <c r="D344" s="472" t="s">
        <v>596</v>
      </c>
      <c r="E344" s="472" t="s">
        <v>371</v>
      </c>
      <c r="F344" s="472" t="s">
        <v>597</v>
      </c>
      <c r="G344" s="472"/>
    </row>
    <row r="345" spans="1:7" ht="12.75">
      <c r="A345" s="475" t="s">
        <v>598</v>
      </c>
      <c r="B345" s="472"/>
      <c r="C345" s="472" t="s">
        <v>562</v>
      </c>
      <c r="D345" s="472" t="s">
        <v>599</v>
      </c>
      <c r="E345" s="472"/>
      <c r="F345" s="472"/>
      <c r="G345" s="472"/>
    </row>
    <row r="346" spans="1:7" ht="12.75">
      <c r="A346" s="568"/>
      <c r="B346" s="568"/>
      <c r="C346" s="568"/>
      <c r="D346" s="568"/>
      <c r="E346" s="568"/>
      <c r="F346" s="568"/>
      <c r="G346" s="568"/>
    </row>
    <row r="347" spans="1:7" ht="12.75">
      <c r="A347" s="488" t="s">
        <v>600</v>
      </c>
      <c r="B347" s="488" t="s">
        <v>205</v>
      </c>
      <c r="C347" s="488" t="s">
        <v>295</v>
      </c>
      <c r="D347" s="488" t="s">
        <v>296</v>
      </c>
      <c r="E347" s="488" t="s">
        <v>297</v>
      </c>
      <c r="F347" s="488" t="s">
        <v>297</v>
      </c>
      <c r="G347" s="488" t="s">
        <v>298</v>
      </c>
    </row>
    <row r="348" spans="1:7" ht="12.75">
      <c r="A348" s="489"/>
      <c r="B348" s="489"/>
      <c r="C348" s="489"/>
      <c r="D348" s="489"/>
      <c r="E348" s="467"/>
      <c r="F348" s="467"/>
      <c r="G348" s="489"/>
    </row>
    <row r="349" spans="1:7" ht="12.75">
      <c r="A349" s="490"/>
      <c r="B349" s="490"/>
      <c r="C349" s="490"/>
      <c r="D349" s="490"/>
      <c r="E349" s="490" t="s">
        <v>299</v>
      </c>
      <c r="F349" s="490" t="s">
        <v>300</v>
      </c>
      <c r="G349" s="490"/>
    </row>
    <row r="350" spans="1:7" ht="12.75">
      <c r="A350" s="491" t="s">
        <v>601</v>
      </c>
      <c r="B350" s="494" t="s">
        <v>301</v>
      </c>
      <c r="C350" s="494" t="s">
        <v>585</v>
      </c>
      <c r="D350" s="494" t="s">
        <v>356</v>
      </c>
      <c r="E350" s="494"/>
      <c r="F350" s="494"/>
      <c r="G350" s="494"/>
    </row>
    <row r="351" spans="1:7" ht="12.75">
      <c r="A351" s="551"/>
      <c r="B351" s="495"/>
      <c r="C351" s="495"/>
      <c r="D351" s="495"/>
      <c r="E351" s="495"/>
      <c r="F351" s="495"/>
      <c r="G351" s="495"/>
    </row>
    <row r="352" spans="1:7" ht="12.75">
      <c r="A352" s="500" t="s">
        <v>583</v>
      </c>
      <c r="B352" s="496"/>
      <c r="C352" s="496"/>
      <c r="D352" s="496"/>
      <c r="E352" s="496"/>
      <c r="F352" s="496"/>
      <c r="G352" s="496"/>
    </row>
    <row r="353" spans="1:7" ht="12.75">
      <c r="A353" s="552"/>
      <c r="B353" s="472" t="s">
        <v>207</v>
      </c>
      <c r="C353" s="472" t="s">
        <v>587</v>
      </c>
      <c r="D353" s="472" t="s">
        <v>602</v>
      </c>
      <c r="E353" s="472" t="s">
        <v>603</v>
      </c>
      <c r="F353" s="472" t="s">
        <v>588</v>
      </c>
      <c r="G353" s="472"/>
    </row>
    <row r="354" spans="1:7" ht="12.75">
      <c r="A354" s="491" t="s">
        <v>601</v>
      </c>
      <c r="B354" s="494" t="s">
        <v>301</v>
      </c>
      <c r="C354" s="494" t="s">
        <v>587</v>
      </c>
      <c r="D354" s="494" t="s">
        <v>335</v>
      </c>
      <c r="E354" s="494" t="s">
        <v>604</v>
      </c>
      <c r="F354" s="494" t="s">
        <v>605</v>
      </c>
      <c r="G354" s="494"/>
    </row>
    <row r="355" spans="1:7" ht="12.75">
      <c r="A355" s="551"/>
      <c r="B355" s="495"/>
      <c r="C355" s="495"/>
      <c r="D355" s="495"/>
      <c r="E355" s="495"/>
      <c r="F355" s="495"/>
      <c r="G355" s="495"/>
    </row>
    <row r="356" spans="1:7" ht="12.75">
      <c r="A356" s="500" t="s">
        <v>586</v>
      </c>
      <c r="B356" s="496"/>
      <c r="C356" s="496"/>
      <c r="D356" s="496"/>
      <c r="E356" s="496"/>
      <c r="F356" s="496"/>
      <c r="G356" s="496"/>
    </row>
    <row r="357" spans="1:7" ht="12.75">
      <c r="A357" s="552"/>
      <c r="B357" s="472" t="s">
        <v>207</v>
      </c>
      <c r="C357" s="472" t="s">
        <v>584</v>
      </c>
      <c r="D357" s="472" t="s">
        <v>606</v>
      </c>
      <c r="E357" s="472" t="s">
        <v>344</v>
      </c>
      <c r="F357" s="472" t="s">
        <v>518</v>
      </c>
      <c r="G357" s="472"/>
    </row>
    <row r="358" spans="1:7" ht="12.75">
      <c r="A358" s="491" t="s">
        <v>590</v>
      </c>
      <c r="B358" s="494" t="s">
        <v>207</v>
      </c>
      <c r="C358" s="494" t="s">
        <v>585</v>
      </c>
      <c r="D358" s="494" t="s">
        <v>371</v>
      </c>
      <c r="E358" s="494"/>
      <c r="F358" s="494"/>
      <c r="G358" s="494"/>
    </row>
    <row r="359" spans="1:7" ht="12.75">
      <c r="A359" s="551"/>
      <c r="B359" s="495"/>
      <c r="C359" s="495"/>
      <c r="D359" s="495"/>
      <c r="E359" s="495"/>
      <c r="F359" s="495"/>
      <c r="G359" s="495"/>
    </row>
    <row r="360" spans="1:7" ht="12.75">
      <c r="A360" s="500" t="s">
        <v>583</v>
      </c>
      <c r="B360" s="495"/>
      <c r="C360" s="495"/>
      <c r="D360" s="495"/>
      <c r="E360" s="495"/>
      <c r="F360" s="495"/>
      <c r="G360" s="495"/>
    </row>
    <row r="361" spans="1:7" ht="12.75">
      <c r="A361" s="552"/>
      <c r="B361" s="496"/>
      <c r="C361" s="496"/>
      <c r="D361" s="496"/>
      <c r="E361" s="496"/>
      <c r="F361" s="496"/>
      <c r="G361" s="496"/>
    </row>
    <row r="362" spans="1:7" ht="12.75">
      <c r="A362" s="491" t="s">
        <v>590</v>
      </c>
      <c r="B362" s="494" t="s">
        <v>301</v>
      </c>
      <c r="C362" s="494" t="s">
        <v>607</v>
      </c>
      <c r="D362" s="494" t="s">
        <v>608</v>
      </c>
      <c r="E362" s="494"/>
      <c r="F362" s="494"/>
      <c r="G362" s="494"/>
    </row>
    <row r="363" spans="1:7" ht="12.75">
      <c r="A363" s="551"/>
      <c r="B363" s="495"/>
      <c r="C363" s="495"/>
      <c r="D363" s="495"/>
      <c r="E363" s="495"/>
      <c r="F363" s="495"/>
      <c r="G363" s="495"/>
    </row>
    <row r="364" spans="1:7" ht="12.75">
      <c r="A364" s="500" t="s">
        <v>586</v>
      </c>
      <c r="B364" s="496"/>
      <c r="C364" s="496"/>
      <c r="D364" s="496"/>
      <c r="E364" s="496"/>
      <c r="F364" s="496"/>
      <c r="G364" s="496"/>
    </row>
    <row r="365" spans="1:7" ht="12.75">
      <c r="A365" s="552"/>
      <c r="B365" s="472" t="s">
        <v>207</v>
      </c>
      <c r="C365" s="472" t="s">
        <v>609</v>
      </c>
      <c r="D365" s="472" t="s">
        <v>610</v>
      </c>
      <c r="E365" s="472" t="s">
        <v>354</v>
      </c>
      <c r="F365" s="472" t="s">
        <v>611</v>
      </c>
      <c r="G365" s="472"/>
    </row>
    <row r="366" spans="1:7" ht="25.5">
      <c r="A366" s="491" t="s">
        <v>612</v>
      </c>
      <c r="B366" s="494" t="s">
        <v>301</v>
      </c>
      <c r="C366" s="494" t="s">
        <v>591</v>
      </c>
      <c r="D366" s="494" t="s">
        <v>330</v>
      </c>
      <c r="E366" s="494"/>
      <c r="F366" s="494"/>
      <c r="G366" s="494"/>
    </row>
    <row r="367" spans="1:7" ht="12.75">
      <c r="A367" s="551"/>
      <c r="B367" s="495"/>
      <c r="C367" s="495"/>
      <c r="D367" s="495"/>
      <c r="E367" s="495"/>
      <c r="F367" s="495"/>
      <c r="G367" s="495"/>
    </row>
    <row r="368" spans="1:7" ht="12.75">
      <c r="A368" s="500" t="s">
        <v>583</v>
      </c>
      <c r="B368" s="496"/>
      <c r="C368" s="496"/>
      <c r="D368" s="496"/>
      <c r="E368" s="496"/>
      <c r="F368" s="496"/>
      <c r="G368" s="496"/>
    </row>
    <row r="369" spans="1:7" ht="12.75">
      <c r="A369" s="552"/>
      <c r="B369" s="472" t="s">
        <v>207</v>
      </c>
      <c r="C369" s="472" t="s">
        <v>562</v>
      </c>
      <c r="D369" s="472" t="s">
        <v>613</v>
      </c>
      <c r="E369" s="472"/>
      <c r="F369" s="472"/>
      <c r="G369" s="472"/>
    </row>
    <row r="370" spans="1:7" ht="25.5">
      <c r="A370" s="491" t="s">
        <v>612</v>
      </c>
      <c r="B370" s="494" t="s">
        <v>301</v>
      </c>
      <c r="C370" s="494" t="s">
        <v>607</v>
      </c>
      <c r="D370" s="494" t="s">
        <v>431</v>
      </c>
      <c r="E370" s="494"/>
      <c r="F370" s="494"/>
      <c r="G370" s="494"/>
    </row>
    <row r="371" spans="1:7" ht="12.75">
      <c r="A371" s="551"/>
      <c r="B371" s="495"/>
      <c r="C371" s="495"/>
      <c r="D371" s="495"/>
      <c r="E371" s="495"/>
      <c r="F371" s="495"/>
      <c r="G371" s="495"/>
    </row>
    <row r="372" spans="1:7" ht="12.75">
      <c r="A372" s="500" t="s">
        <v>586</v>
      </c>
      <c r="B372" s="496"/>
      <c r="C372" s="496"/>
      <c r="D372" s="496"/>
      <c r="E372" s="496"/>
      <c r="F372" s="496"/>
      <c r="G372" s="496"/>
    </row>
    <row r="373" spans="1:7" ht="12.75">
      <c r="A373" s="552"/>
      <c r="B373" s="472" t="s">
        <v>207</v>
      </c>
      <c r="C373" s="472" t="s">
        <v>585</v>
      </c>
      <c r="D373" s="472" t="s">
        <v>614</v>
      </c>
      <c r="E373" s="472"/>
      <c r="F373" s="472"/>
      <c r="G373" s="472"/>
    </row>
    <row r="374" spans="1:7" ht="12.75">
      <c r="A374" s="501"/>
      <c r="B374" s="501"/>
      <c r="C374" s="501"/>
      <c r="D374" s="501"/>
      <c r="E374" s="501"/>
      <c r="F374" s="501"/>
      <c r="G374" s="501"/>
    </row>
    <row r="375" spans="1:7" ht="12.75">
      <c r="A375" s="566" t="s">
        <v>461</v>
      </c>
      <c r="B375" s="566"/>
      <c r="C375" s="566"/>
      <c r="D375" s="566"/>
      <c r="E375" s="566"/>
      <c r="F375" s="566"/>
      <c r="G375" s="566"/>
    </row>
    <row r="376" spans="1:7" ht="12.75">
      <c r="A376" s="567"/>
      <c r="B376" s="567"/>
      <c r="C376" s="567"/>
      <c r="D376" s="567"/>
      <c r="E376" s="567"/>
      <c r="F376" s="567"/>
      <c r="G376" s="567"/>
    </row>
    <row r="377" spans="1:7" ht="12.75">
      <c r="A377" s="488" t="s">
        <v>615</v>
      </c>
      <c r="B377" s="488" t="s">
        <v>205</v>
      </c>
      <c r="C377" s="488" t="s">
        <v>295</v>
      </c>
      <c r="D377" s="488" t="s">
        <v>296</v>
      </c>
      <c r="E377" s="488" t="s">
        <v>297</v>
      </c>
      <c r="F377" s="488" t="s">
        <v>297</v>
      </c>
      <c r="G377" s="488" t="s">
        <v>298</v>
      </c>
    </row>
    <row r="378" spans="1:7" ht="12.75">
      <c r="A378" s="489"/>
      <c r="B378" s="489"/>
      <c r="C378" s="489"/>
      <c r="D378" s="489"/>
      <c r="E378" s="467"/>
      <c r="F378" s="467"/>
      <c r="G378" s="489"/>
    </row>
    <row r="379" spans="1:7" ht="12.75">
      <c r="A379" s="490"/>
      <c r="B379" s="490"/>
      <c r="C379" s="490"/>
      <c r="D379" s="490"/>
      <c r="E379" s="490" t="s">
        <v>299</v>
      </c>
      <c r="F379" s="490" t="s">
        <v>300</v>
      </c>
      <c r="G379" s="490"/>
    </row>
    <row r="380" spans="1:7" ht="12.75">
      <c r="A380" s="491" t="s">
        <v>616</v>
      </c>
      <c r="B380" s="494" t="s">
        <v>207</v>
      </c>
      <c r="C380" s="494" t="s">
        <v>617</v>
      </c>
      <c r="D380" s="494" t="s">
        <v>376</v>
      </c>
      <c r="E380" s="494" t="s">
        <v>427</v>
      </c>
      <c r="F380" s="494" t="s">
        <v>618</v>
      </c>
      <c r="G380" s="494" t="s">
        <v>457</v>
      </c>
    </row>
    <row r="381" spans="1:7" ht="12.75">
      <c r="A381" s="551"/>
      <c r="B381" s="495"/>
      <c r="C381" s="495"/>
      <c r="D381" s="495"/>
      <c r="E381" s="495"/>
      <c r="F381" s="495"/>
      <c r="G381" s="495"/>
    </row>
    <row r="382" spans="1:7" ht="12.75">
      <c r="A382" s="500" t="s">
        <v>619</v>
      </c>
      <c r="B382" s="495"/>
      <c r="C382" s="495"/>
      <c r="D382" s="495"/>
      <c r="E382" s="495"/>
      <c r="F382" s="495"/>
      <c r="G382" s="495"/>
    </row>
    <row r="383" spans="1:7" ht="12.75">
      <c r="A383" s="552"/>
      <c r="B383" s="496"/>
      <c r="C383" s="496"/>
      <c r="D383" s="496"/>
      <c r="E383" s="496"/>
      <c r="F383" s="496"/>
      <c r="G383" s="496"/>
    </row>
    <row r="384" spans="1:7" ht="12.75">
      <c r="A384" s="491" t="s">
        <v>616</v>
      </c>
      <c r="B384" s="494" t="s">
        <v>207</v>
      </c>
      <c r="C384" s="494" t="s">
        <v>620</v>
      </c>
      <c r="D384" s="494" t="s">
        <v>621</v>
      </c>
      <c r="E384" s="494" t="s">
        <v>427</v>
      </c>
      <c r="F384" s="494" t="s">
        <v>345</v>
      </c>
      <c r="G384" s="494" t="s">
        <v>622</v>
      </c>
    </row>
    <row r="385" spans="1:7" ht="12.75">
      <c r="A385" s="551"/>
      <c r="B385" s="495"/>
      <c r="C385" s="495"/>
      <c r="D385" s="495"/>
      <c r="E385" s="495"/>
      <c r="F385" s="495"/>
      <c r="G385" s="495"/>
    </row>
    <row r="386" spans="1:7" ht="12.75">
      <c r="A386" s="500" t="s">
        <v>215</v>
      </c>
      <c r="B386" s="495"/>
      <c r="C386" s="495"/>
      <c r="D386" s="495"/>
      <c r="E386" s="495"/>
      <c r="F386" s="495"/>
      <c r="G386" s="495"/>
    </row>
    <row r="387" spans="1:7" ht="12.75">
      <c r="A387" s="552"/>
      <c r="B387" s="496"/>
      <c r="C387" s="496"/>
      <c r="D387" s="496"/>
      <c r="E387" s="496"/>
      <c r="F387" s="496"/>
      <c r="G387" s="496"/>
    </row>
    <row r="388" spans="1:7" ht="12.75">
      <c r="A388" s="491" t="s">
        <v>616</v>
      </c>
      <c r="B388" s="494" t="s">
        <v>207</v>
      </c>
      <c r="C388" s="494" t="s">
        <v>623</v>
      </c>
      <c r="D388" s="494" t="s">
        <v>337</v>
      </c>
      <c r="E388" s="494" t="s">
        <v>376</v>
      </c>
      <c r="F388" s="494" t="s">
        <v>624</v>
      </c>
      <c r="G388" s="494" t="s">
        <v>625</v>
      </c>
    </row>
    <row r="389" spans="1:7" ht="12.75">
      <c r="A389" s="551"/>
      <c r="B389" s="495"/>
      <c r="C389" s="495"/>
      <c r="D389" s="495"/>
      <c r="E389" s="495"/>
      <c r="F389" s="495"/>
      <c r="G389" s="495"/>
    </row>
    <row r="390" spans="1:7" ht="12.75">
      <c r="A390" s="500" t="s">
        <v>216</v>
      </c>
      <c r="B390" s="495"/>
      <c r="C390" s="495"/>
      <c r="D390" s="495"/>
      <c r="E390" s="495"/>
      <c r="F390" s="495"/>
      <c r="G390" s="495"/>
    </row>
    <row r="391" spans="1:7" ht="12.75">
      <c r="A391" s="552"/>
      <c r="B391" s="496"/>
      <c r="C391" s="496"/>
      <c r="D391" s="496"/>
      <c r="E391" s="496"/>
      <c r="F391" s="496"/>
      <c r="G391" s="496"/>
    </row>
    <row r="392" spans="1:7" ht="12.75">
      <c r="A392" s="491" t="s">
        <v>626</v>
      </c>
      <c r="B392" s="494" t="s">
        <v>627</v>
      </c>
      <c r="C392" s="494" t="s">
        <v>541</v>
      </c>
      <c r="D392" s="494" t="s">
        <v>332</v>
      </c>
      <c r="E392" s="494" t="s">
        <v>321</v>
      </c>
      <c r="F392" s="494" t="s">
        <v>628</v>
      </c>
      <c r="G392" s="494"/>
    </row>
    <row r="393" spans="1:7" ht="12.75">
      <c r="A393" s="551"/>
      <c r="B393" s="495"/>
      <c r="C393" s="495"/>
      <c r="D393" s="495"/>
      <c r="E393" s="495"/>
      <c r="F393" s="495"/>
      <c r="G393" s="495"/>
    </row>
    <row r="394" spans="1:7" ht="12.75">
      <c r="A394" s="500" t="s">
        <v>629</v>
      </c>
      <c r="B394" s="495"/>
      <c r="C394" s="495"/>
      <c r="D394" s="495"/>
      <c r="E394" s="495"/>
      <c r="F394" s="495"/>
      <c r="G394" s="495"/>
    </row>
    <row r="395" spans="1:7" ht="12.75">
      <c r="A395" s="552"/>
      <c r="B395" s="496"/>
      <c r="C395" s="496"/>
      <c r="D395" s="496"/>
      <c r="E395" s="496"/>
      <c r="F395" s="496"/>
      <c r="G395" s="496"/>
    </row>
    <row r="396" spans="1:7" ht="12.75">
      <c r="A396" s="491" t="s">
        <v>626</v>
      </c>
      <c r="B396" s="494" t="s">
        <v>627</v>
      </c>
      <c r="C396" s="494" t="s">
        <v>562</v>
      </c>
      <c r="D396" s="494" t="s">
        <v>320</v>
      </c>
      <c r="E396" s="494"/>
      <c r="F396" s="494"/>
      <c r="G396" s="494"/>
    </row>
    <row r="397" spans="1:7" ht="12.75">
      <c r="A397" s="551"/>
      <c r="B397" s="495"/>
      <c r="C397" s="495"/>
      <c r="D397" s="495"/>
      <c r="E397" s="495"/>
      <c r="F397" s="495"/>
      <c r="G397" s="495"/>
    </row>
    <row r="398" spans="1:7" ht="12.75">
      <c r="A398" s="500" t="s">
        <v>630</v>
      </c>
      <c r="B398" s="495"/>
      <c r="C398" s="495"/>
      <c r="D398" s="495"/>
      <c r="E398" s="495"/>
      <c r="F398" s="495"/>
      <c r="G398" s="495"/>
    </row>
    <row r="399" spans="1:7" ht="12.75">
      <c r="A399" s="492"/>
      <c r="B399" s="496"/>
      <c r="C399" s="496"/>
      <c r="D399" s="496"/>
      <c r="E399" s="496"/>
      <c r="F399" s="496"/>
      <c r="G399" s="496"/>
    </row>
    <row r="400" spans="1:7" ht="12.75">
      <c r="A400" s="491" t="s">
        <v>626</v>
      </c>
      <c r="B400" s="494" t="s">
        <v>627</v>
      </c>
      <c r="C400" s="494" t="s">
        <v>562</v>
      </c>
      <c r="D400" s="494" t="s">
        <v>321</v>
      </c>
      <c r="E400" s="494"/>
      <c r="F400" s="494"/>
      <c r="G400" s="494" t="s">
        <v>328</v>
      </c>
    </row>
    <row r="401" spans="1:7" ht="12.75">
      <c r="A401" s="551"/>
      <c r="B401" s="495"/>
      <c r="C401" s="495"/>
      <c r="D401" s="495"/>
      <c r="E401" s="495"/>
      <c r="F401" s="495"/>
      <c r="G401" s="495"/>
    </row>
    <row r="402" spans="1:7" ht="12.75">
      <c r="A402" s="500" t="s">
        <v>631</v>
      </c>
      <c r="B402" s="496"/>
      <c r="C402" s="496"/>
      <c r="D402" s="496"/>
      <c r="E402" s="496"/>
      <c r="F402" s="496"/>
      <c r="G402" s="496"/>
    </row>
    <row r="403" spans="1:7" ht="12.75">
      <c r="A403" s="552"/>
      <c r="B403" s="472" t="s">
        <v>207</v>
      </c>
      <c r="C403" s="472" t="s">
        <v>609</v>
      </c>
      <c r="D403" s="472" t="s">
        <v>485</v>
      </c>
      <c r="E403" s="472" t="s">
        <v>410</v>
      </c>
      <c r="F403" s="472" t="s">
        <v>632</v>
      </c>
      <c r="G403" s="472" t="s">
        <v>446</v>
      </c>
    </row>
    <row r="404" spans="1:7" ht="12.75">
      <c r="A404" s="491" t="s">
        <v>626</v>
      </c>
      <c r="B404" s="494" t="s">
        <v>627</v>
      </c>
      <c r="C404" s="494" t="s">
        <v>591</v>
      </c>
      <c r="D404" s="494" t="s">
        <v>408</v>
      </c>
      <c r="E404" s="494"/>
      <c r="F404" s="494"/>
      <c r="G404" s="494"/>
    </row>
    <row r="405" spans="1:7" ht="12.75">
      <c r="A405" s="551"/>
      <c r="B405" s="495"/>
      <c r="C405" s="495"/>
      <c r="D405" s="495"/>
      <c r="E405" s="495"/>
      <c r="F405" s="495"/>
      <c r="G405" s="495"/>
    </row>
    <row r="406" spans="1:7" ht="12.75">
      <c r="A406" s="500" t="s">
        <v>633</v>
      </c>
      <c r="B406" s="496"/>
      <c r="C406" s="496"/>
      <c r="D406" s="496"/>
      <c r="E406" s="496"/>
      <c r="F406" s="496"/>
      <c r="G406" s="496"/>
    </row>
    <row r="407" spans="1:7" ht="12.75">
      <c r="A407" s="552"/>
      <c r="B407" s="472" t="s">
        <v>207</v>
      </c>
      <c r="C407" s="472" t="s">
        <v>607</v>
      </c>
      <c r="D407" s="472" t="s">
        <v>634</v>
      </c>
      <c r="E407" s="472"/>
      <c r="F407" s="472"/>
      <c r="G407" s="472"/>
    </row>
    <row r="408" spans="1:7" ht="12.75">
      <c r="A408" s="491" t="s">
        <v>626</v>
      </c>
      <c r="B408" s="494" t="s">
        <v>207</v>
      </c>
      <c r="C408" s="494" t="s">
        <v>541</v>
      </c>
      <c r="D408" s="494" t="s">
        <v>405</v>
      </c>
      <c r="E408" s="494" t="s">
        <v>635</v>
      </c>
      <c r="F408" s="494" t="s">
        <v>352</v>
      </c>
      <c r="G408" s="494" t="s">
        <v>358</v>
      </c>
    </row>
    <row r="409" spans="1:7" ht="12.75">
      <c r="A409" s="551"/>
      <c r="B409" s="495"/>
      <c r="C409" s="495"/>
      <c r="D409" s="495"/>
      <c r="E409" s="495"/>
      <c r="F409" s="495"/>
      <c r="G409" s="495"/>
    </row>
    <row r="410" spans="1:7" ht="12.75">
      <c r="A410" s="500" t="s">
        <v>636</v>
      </c>
      <c r="B410" s="495"/>
      <c r="C410" s="495"/>
      <c r="D410" s="495"/>
      <c r="E410" s="495"/>
      <c r="F410" s="495"/>
      <c r="G410" s="495"/>
    </row>
    <row r="411" spans="1:7" ht="12.75">
      <c r="A411" s="552"/>
      <c r="B411" s="496"/>
      <c r="C411" s="496"/>
      <c r="D411" s="496"/>
      <c r="E411" s="496"/>
      <c r="F411" s="496"/>
      <c r="G411" s="496"/>
    </row>
    <row r="412" spans="1:7" ht="12.75">
      <c r="A412" s="568"/>
      <c r="B412" s="568"/>
      <c r="C412" s="568"/>
      <c r="D412" s="568"/>
      <c r="E412" s="568"/>
      <c r="F412" s="568"/>
      <c r="G412" s="568"/>
    </row>
    <row r="413" spans="1:7" ht="12.75">
      <c r="A413" s="488" t="s">
        <v>637</v>
      </c>
      <c r="B413" s="488" t="s">
        <v>205</v>
      </c>
      <c r="C413" s="488" t="s">
        <v>295</v>
      </c>
      <c r="D413" s="488" t="s">
        <v>296</v>
      </c>
      <c r="E413" s="488" t="s">
        <v>297</v>
      </c>
      <c r="F413" s="488" t="s">
        <v>297</v>
      </c>
      <c r="G413" s="488" t="s">
        <v>298</v>
      </c>
    </row>
    <row r="414" spans="1:7" ht="12.75">
      <c r="A414" s="489"/>
      <c r="B414" s="489"/>
      <c r="C414" s="489"/>
      <c r="D414" s="489"/>
      <c r="E414" s="467"/>
      <c r="F414" s="467"/>
      <c r="G414" s="489"/>
    </row>
    <row r="415" spans="1:7" ht="12.75">
      <c r="A415" s="490"/>
      <c r="B415" s="490"/>
      <c r="C415" s="490"/>
      <c r="D415" s="490"/>
      <c r="E415" s="490" t="s">
        <v>299</v>
      </c>
      <c r="F415" s="490" t="s">
        <v>300</v>
      </c>
      <c r="G415" s="490"/>
    </row>
    <row r="416" spans="1:7" ht="12.75">
      <c r="A416" s="475" t="s">
        <v>638</v>
      </c>
      <c r="B416" s="472" t="s">
        <v>207</v>
      </c>
      <c r="C416" s="472" t="s">
        <v>555</v>
      </c>
      <c r="D416" s="472" t="s">
        <v>639</v>
      </c>
      <c r="E416" s="472" t="s">
        <v>376</v>
      </c>
      <c r="F416" s="472" t="s">
        <v>345</v>
      </c>
      <c r="G416" s="472" t="s">
        <v>376</v>
      </c>
    </row>
    <row r="417" spans="1:7" ht="12.75">
      <c r="A417" s="475" t="s">
        <v>640</v>
      </c>
      <c r="B417" s="472" t="s">
        <v>207</v>
      </c>
      <c r="C417" s="472" t="s">
        <v>641</v>
      </c>
      <c r="D417" s="472" t="s">
        <v>642</v>
      </c>
      <c r="E417" s="472" t="s">
        <v>307</v>
      </c>
      <c r="F417" s="472" t="s">
        <v>603</v>
      </c>
      <c r="G417" s="472" t="s">
        <v>643</v>
      </c>
    </row>
    <row r="418" spans="1:7" ht="12.75">
      <c r="A418" s="568"/>
      <c r="B418" s="568"/>
      <c r="C418" s="568"/>
      <c r="D418" s="568"/>
      <c r="E418" s="568"/>
      <c r="F418" s="568"/>
      <c r="G418" s="568"/>
    </row>
    <row r="419" spans="1:7" ht="12.75">
      <c r="A419" s="488" t="s">
        <v>644</v>
      </c>
      <c r="B419" s="488" t="s">
        <v>205</v>
      </c>
      <c r="C419" s="488" t="s">
        <v>295</v>
      </c>
      <c r="D419" s="488" t="s">
        <v>296</v>
      </c>
      <c r="E419" s="488" t="s">
        <v>297</v>
      </c>
      <c r="F419" s="488" t="s">
        <v>297</v>
      </c>
      <c r="G419" s="488" t="s">
        <v>298</v>
      </c>
    </row>
    <row r="420" spans="1:7" ht="12.75">
      <c r="A420" s="489"/>
      <c r="B420" s="489"/>
      <c r="C420" s="489"/>
      <c r="D420" s="489"/>
      <c r="E420" s="467"/>
      <c r="F420" s="467"/>
      <c r="G420" s="489"/>
    </row>
    <row r="421" spans="1:7" ht="12.75">
      <c r="A421" s="490"/>
      <c r="B421" s="490"/>
      <c r="C421" s="490"/>
      <c r="D421" s="490"/>
      <c r="E421" s="490" t="s">
        <v>299</v>
      </c>
      <c r="F421" s="490" t="s">
        <v>300</v>
      </c>
      <c r="G421" s="490"/>
    </row>
    <row r="422" spans="1:7" ht="12.75">
      <c r="A422" s="491" t="s">
        <v>645</v>
      </c>
      <c r="B422" s="472" t="s">
        <v>207</v>
      </c>
      <c r="C422" s="472" t="s">
        <v>545</v>
      </c>
      <c r="D422" s="472" t="s">
        <v>464</v>
      </c>
      <c r="E422" s="472" t="s">
        <v>313</v>
      </c>
      <c r="F422" s="472" t="s">
        <v>376</v>
      </c>
      <c r="G422" s="472" t="s">
        <v>493</v>
      </c>
    </row>
    <row r="423" spans="1:7" ht="12.75">
      <c r="A423" s="492"/>
      <c r="B423" s="472" t="s">
        <v>646</v>
      </c>
      <c r="C423" s="472" t="s">
        <v>591</v>
      </c>
      <c r="D423" s="472" t="s">
        <v>647</v>
      </c>
      <c r="E423" s="472"/>
      <c r="F423" s="472"/>
      <c r="G423" s="472"/>
    </row>
    <row r="424" spans="1:7" ht="12.75">
      <c r="A424" s="557"/>
      <c r="B424" s="557"/>
      <c r="C424" s="557"/>
      <c r="D424" s="557"/>
      <c r="E424" s="557"/>
      <c r="F424" s="557"/>
      <c r="G424" s="557"/>
    </row>
    <row r="425" spans="1:7" ht="12.75" customHeight="1">
      <c r="A425" s="565" t="s">
        <v>648</v>
      </c>
      <c r="B425" s="565"/>
      <c r="C425" s="565"/>
      <c r="D425" s="565"/>
      <c r="E425" s="565"/>
      <c r="F425" s="565"/>
      <c r="G425" s="565"/>
    </row>
    <row r="426" spans="1:7" ht="12.75">
      <c r="A426" s="565"/>
      <c r="B426" s="565"/>
      <c r="C426" s="565"/>
      <c r="D426" s="565"/>
      <c r="E426" s="565"/>
      <c r="F426" s="565"/>
      <c r="G426" s="565"/>
    </row>
    <row r="427" spans="1:7" ht="12.75">
      <c r="A427" s="565" t="s">
        <v>649</v>
      </c>
      <c r="B427" s="565"/>
      <c r="C427" s="565"/>
      <c r="D427" s="565"/>
      <c r="E427" s="565"/>
      <c r="F427" s="565"/>
      <c r="G427" s="565"/>
    </row>
    <row r="428" spans="1:7" ht="12.75" customHeight="1">
      <c r="A428" s="565" t="s">
        <v>650</v>
      </c>
      <c r="B428" s="565"/>
      <c r="C428" s="565"/>
      <c r="D428" s="565"/>
      <c r="E428" s="565"/>
      <c r="F428" s="565"/>
      <c r="G428" s="565"/>
    </row>
    <row r="429" spans="1:7" ht="12.75">
      <c r="A429" s="565" t="s">
        <v>651</v>
      </c>
      <c r="B429" s="565"/>
      <c r="C429" s="565"/>
      <c r="D429" s="565"/>
      <c r="E429" s="565"/>
      <c r="F429" s="565"/>
      <c r="G429" s="565"/>
    </row>
  </sheetData>
  <sheetProtection/>
  <hyperlinks>
    <hyperlink ref="A191" location="top" display="top"/>
    <hyperlink ref="A296" location="top" display="top"/>
    <hyperlink ref="A375" location="top" display="top"/>
  </hyperlinks>
  <printOptions/>
  <pageMargins left="0.75" right="0.75" top="1" bottom="1" header="0.5" footer="0.5"/>
  <pageSetup orientation="portrait" scale="52" r:id="rId1"/>
  <headerFooter alignWithMargins="0">
    <oddHeader>&amp;C&amp;A&amp;R&amp;N</oddHeader>
    <oddFooter>&amp;L&amp;D&amp;C&amp;F&amp;R&amp;P/&amp;N</oddFooter>
  </headerFooter>
  <rowBreaks count="5" manualBreakCount="5">
    <brk id="72" max="8" man="1"/>
    <brk id="140" max="255" man="1"/>
    <brk id="191" max="255" man="1"/>
    <brk id="288" max="255" man="1"/>
    <brk id="3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OMAFRA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OMAFRA</dc:creator>
  <cp:keywords/>
  <dc:description/>
  <cp:lastModifiedBy>Bauman, Jamie (OMAFRA)</cp:lastModifiedBy>
  <cp:lastPrinted>2006-12-01T22:40:15Z</cp:lastPrinted>
  <dcterms:created xsi:type="dcterms:W3CDTF">1998-01-27T20:32:31Z</dcterms:created>
  <dcterms:modified xsi:type="dcterms:W3CDTF">2015-12-04T18:53:14Z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