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9120" windowHeight="3870" tabRatio="716" activeTab="3"/>
  </bookViews>
  <sheets>
    <sheet name="Menu" sheetId="1" r:id="rId1"/>
    <sheet name="Coûts liés à la propriété" sheetId="2" r:id="rId2"/>
    <sheet name="Coûts du locataire" sheetId="3" r:id="rId3"/>
    <sheet name="Loyer de base - variable" sheetId="4" r:id="rId4"/>
    <sheet name="Location au comptant -%" sheetId="5" r:id="rId5"/>
    <sheet name="Loyer au compant variable " sheetId="6" r:id="rId6"/>
    <sheet name="Pâturages" sheetId="7" r:id="rId7"/>
    <sheet name="Partage des récoltes" sheetId="8" r:id="rId8"/>
    <sheet name="Sheet1" sheetId="9" r:id="rId9"/>
  </sheets>
  <definedNames>
    <definedName name="_xlnm.Print_Area" localSheetId="2">'Coûts du locataire'!$B$3:$F$53</definedName>
    <definedName name="_xlnm.Print_Area" localSheetId="4">'Location au comptant -%'!$B$2:$J$31</definedName>
    <definedName name="_xlnm.Print_Area" localSheetId="3">'Loyer de base - variable'!$B$3:$N$47</definedName>
    <definedName name="_xlnm.Print_Area" localSheetId="6">'Pâturages'!$B$2:$H$65</definedName>
  </definedNames>
  <calcPr fullCalcOnLoad="1"/>
</workbook>
</file>

<file path=xl/sharedStrings.xml><?xml version="1.0" encoding="utf-8"?>
<sst xmlns="http://schemas.openxmlformats.org/spreadsheetml/2006/main" count="410" uniqueCount="297">
  <si>
    <t>x</t>
  </si>
  <si>
    <t>/</t>
  </si>
  <si>
    <t>A</t>
  </si>
  <si>
    <t>B</t>
  </si>
  <si>
    <t>C</t>
  </si>
  <si>
    <t>D</t>
  </si>
  <si>
    <t>E</t>
  </si>
  <si>
    <t>F</t>
  </si>
  <si>
    <t>Combined</t>
  </si>
  <si>
    <t>Crop Revenue</t>
  </si>
  <si>
    <t>Landlord Share</t>
  </si>
  <si>
    <t>Tenant Share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</si>
  <si>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</si>
  <si>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</si>
  <si>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</si>
  <si>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</si>
  <si>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</si>
  <si>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</si>
  <si>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</si>
  <si>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</si>
  <si>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</si>
  <si>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</si>
  <si>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</si>
  <si>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</si>
  <si>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</si>
  <si>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</si>
  <si>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</si>
  <si>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</si>
  <si>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</si>
  <si>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</si>
  <si>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</si>
  <si>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</si>
  <si>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</si>
  <si>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</si>
  <si>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</si>
  <si>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Total</t>
  </si>
  <si>
    <t>Shared</t>
  </si>
  <si>
    <t>hrs</t>
  </si>
  <si>
    <t>per hd</t>
  </si>
  <si>
    <t>Net Income</t>
  </si>
  <si>
    <t xml:space="preserve"> </t>
  </si>
  <si>
    <t>Nombre d'acres</t>
  </si>
  <si>
    <t>Valeur total par acre</t>
  </si>
  <si>
    <t>Coût annuel par acre</t>
  </si>
  <si>
    <t xml:space="preserve">Valeur de la terre </t>
  </si>
  <si>
    <t>Valeur des améliorations foncières</t>
  </si>
  <si>
    <t>Intérêts</t>
  </si>
  <si>
    <t xml:space="preserve">           Intérêts</t>
  </si>
  <si>
    <t xml:space="preserve">           Amortissement</t>
  </si>
  <si>
    <t xml:space="preserve">           Réparations</t>
  </si>
  <si>
    <t xml:space="preserve">           Assurance</t>
  </si>
  <si>
    <t>Bâtiments</t>
  </si>
  <si>
    <r>
      <t xml:space="preserve">           Amortissement </t>
    </r>
    <r>
      <rPr>
        <sz val="10"/>
        <rFont val="Arial"/>
        <family val="2"/>
      </rPr>
      <t>(valeur / # d'années)</t>
    </r>
  </si>
  <si>
    <t xml:space="preserve">           Clôtures</t>
  </si>
  <si>
    <t xml:space="preserve">           Système d'eau</t>
  </si>
  <si>
    <t>Taux ou durée de vie</t>
  </si>
  <si>
    <t>Matériel agricole</t>
  </si>
  <si>
    <t>Rendement total recherché par acre</t>
  </si>
  <si>
    <t>Rendement total recherché</t>
  </si>
  <si>
    <t>Produits tirés des cultures</t>
  </si>
  <si>
    <t>Colonne 1</t>
  </si>
  <si>
    <t>Colonne 2</t>
  </si>
  <si>
    <t>Colonne 3</t>
  </si>
  <si>
    <t>Rangée</t>
  </si>
  <si>
    <t>Rendement prévu par acre</t>
  </si>
  <si>
    <r>
      <t xml:space="preserve">Produit tiré de la culture par acre  </t>
    </r>
    <r>
      <rPr>
        <b/>
        <sz val="10"/>
        <rFont val="Arial"/>
        <family val="2"/>
      </rPr>
      <t>( B x C )</t>
    </r>
  </si>
  <si>
    <t>Sommes versées par le gouvernement par acre</t>
  </si>
  <si>
    <t>Nombre total d'acres</t>
  </si>
  <si>
    <t>Produit moyen par acre ( additionner les colonnes 1, 2 &amp; 3 de la rangée G et diviser par H )</t>
  </si>
  <si>
    <t>Charges variables pour les cultures (se référer aux Budgets de cultures du MAAO)</t>
  </si>
  <si>
    <t>Maïs</t>
  </si>
  <si>
    <t>Soya</t>
  </si>
  <si>
    <t>Blé</t>
  </si>
  <si>
    <t>Semences</t>
  </si>
  <si>
    <t>Engrais</t>
  </si>
  <si>
    <t xml:space="preserve">Herbicides </t>
  </si>
  <si>
    <t>Insecticides</t>
  </si>
  <si>
    <t>Carburant</t>
  </si>
  <si>
    <t>Réparations et entretien de la machinerie</t>
  </si>
  <si>
    <t>Assurance-récolte</t>
  </si>
  <si>
    <t>Frais de commercialisation</t>
  </si>
  <si>
    <t>Séchage</t>
  </si>
  <si>
    <t>Travail à forfait</t>
  </si>
  <si>
    <t>Camionnage</t>
  </si>
  <si>
    <t>Entreposage</t>
  </si>
  <si>
    <t>Consultants et salariés</t>
  </si>
  <si>
    <t>Autres charges</t>
  </si>
  <si>
    <t>Total des charges variables par acre (add. chaque colonne)</t>
  </si>
  <si>
    <t>Charges fixes</t>
  </si>
  <si>
    <t>Valeur de la machinerie</t>
  </si>
  <si>
    <t>Taux d'intérêt demandé sur l'investissement en machinerie</t>
  </si>
  <si>
    <r>
      <t xml:space="preserve">Amortissement </t>
    </r>
    <r>
      <rPr>
        <b/>
        <sz val="10"/>
        <rFont val="Arial"/>
        <family val="2"/>
      </rPr>
      <t xml:space="preserve"> ( P x .10 )</t>
    </r>
  </si>
  <si>
    <r>
      <t xml:space="preserve">Assurance </t>
    </r>
    <r>
      <rPr>
        <b/>
        <sz val="10"/>
        <rFont val="Arial"/>
        <family val="2"/>
      </rPr>
      <t>( P x .0025 )</t>
    </r>
    <r>
      <rPr>
        <sz val="10"/>
        <rFont val="Arial"/>
        <family val="2"/>
      </rPr>
      <t xml:space="preserve"> </t>
    </r>
  </si>
  <si>
    <t>Autres charges fixes par acre</t>
  </si>
  <si>
    <r>
      <t xml:space="preserve">Marge sur charges variables (marge brut) par acre </t>
    </r>
    <r>
      <rPr>
        <b/>
        <sz val="10"/>
        <rFont val="Arial"/>
        <family val="2"/>
      </rPr>
      <t>( F - J)</t>
    </r>
  </si>
  <si>
    <r>
      <t xml:space="preserve">Total des charges variables </t>
    </r>
    <r>
      <rPr>
        <b/>
        <sz val="10"/>
        <rFont val="Arial"/>
        <family val="2"/>
      </rPr>
      <t>( A x J )</t>
    </r>
  </si>
  <si>
    <r>
      <t>Marge moyenne sur charges variables</t>
    </r>
    <r>
      <rPr>
        <b/>
        <sz val="10"/>
        <rFont val="Arial"/>
        <family val="2"/>
      </rPr>
      <t xml:space="preserve"> ( I - M )</t>
    </r>
  </si>
  <si>
    <r>
      <t>Mise de fonds par acre</t>
    </r>
    <r>
      <rPr>
        <b/>
        <sz val="10"/>
        <rFont val="Arial"/>
        <family val="2"/>
      </rPr>
      <t xml:space="preserve"> (O divisé par H)</t>
    </r>
  </si>
  <si>
    <r>
      <t xml:space="preserve">Intérêts sur l'investissement moyen </t>
    </r>
    <r>
      <rPr>
        <b/>
        <sz val="10"/>
        <rFont val="Arial"/>
        <family val="2"/>
      </rPr>
      <t>(P divisé par 2) x Q</t>
    </r>
  </si>
  <si>
    <r>
      <t>Total des charges fixes par acre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(additionner R + S + T + U)</t>
    </r>
  </si>
  <si>
    <t>Frais de main-d'oeuvre et de gestion</t>
  </si>
  <si>
    <t>Nombre d'heures de travail par acre</t>
  </si>
  <si>
    <t>Coût horaire de la main-d'oeuvre (le vôtre et celui des ouvriers)</t>
  </si>
  <si>
    <r>
      <t xml:space="preserve">Frais de main-d'oeuvre par acre </t>
    </r>
    <r>
      <rPr>
        <b/>
        <sz val="10"/>
        <rFont val="Arial"/>
        <family val="2"/>
      </rPr>
      <t xml:space="preserve"> (W x X)</t>
    </r>
  </si>
  <si>
    <t>Frais de gestion de l'exploitant (taux suggéré 5,0 à 8,0% )</t>
  </si>
  <si>
    <r>
      <t xml:space="preserve">Frais de gestion  </t>
    </r>
    <r>
      <rPr>
        <b/>
        <sz val="10"/>
        <rFont val="Arial"/>
        <family val="2"/>
      </rPr>
      <t>( I x Z )</t>
    </r>
  </si>
  <si>
    <r>
      <t>Total des frais main-d'oeuvre et de gestion</t>
    </r>
    <r>
      <rPr>
        <b/>
        <sz val="10"/>
        <rFont val="Arial"/>
        <family val="2"/>
      </rPr>
      <t xml:space="preserve"> (Y + AA)</t>
    </r>
  </si>
  <si>
    <t>Total des coûts de production (M + V + BB)</t>
  </si>
  <si>
    <t>Montant disponible pour garantir les paiements de
 loyer   ( I - CC)</t>
  </si>
  <si>
    <t>Scénario A - Rajustement en fonction du prix</t>
  </si>
  <si>
    <t>Loyer de base</t>
  </si>
  <si>
    <t>Rajustement du prix</t>
  </si>
  <si>
    <t>Prix de base</t>
  </si>
  <si>
    <t>Scénario B - Rajustement en fonction du rendement uniquement</t>
  </si>
  <si>
    <t>Rajustement du rendement par boisseau</t>
  </si>
  <si>
    <t>par</t>
  </si>
  <si>
    <t>acre</t>
  </si>
  <si>
    <t>Scénario C - Rajustement en fonction à la fois du prix et du rendement</t>
  </si>
  <si>
    <t>Produit de base</t>
  </si>
  <si>
    <t>Rajustement de</t>
  </si>
  <si>
    <t>Rajustement pour chaque</t>
  </si>
  <si>
    <t>variation du produit</t>
  </si>
  <si>
    <t>Scénario</t>
  </si>
  <si>
    <t>boisseau</t>
  </si>
  <si>
    <t>Rendement de base (boisseau)</t>
  </si>
  <si>
    <t>Loyer de base rajusté en fonction du prix</t>
  </si>
  <si>
    <t>Loyer de base rajusté en fonction du rendement</t>
  </si>
  <si>
    <t>Loyer de base rajusté en fonction du prix et du rendement (produit)</t>
  </si>
  <si>
    <t>Prix/boisseau</t>
  </si>
  <si>
    <t>Boisseaux/acre</t>
  </si>
  <si>
    <t>Situation du locataire après paiement du loyer</t>
  </si>
  <si>
    <t>Loyer de base rajusté en fonction du 
rendement</t>
  </si>
  <si>
    <t>Rendement supérieur à la moyenne de:</t>
  </si>
  <si>
    <t>Revenu brut</t>
  </si>
  <si>
    <t>par boisseau</t>
  </si>
  <si>
    <t>Prix:</t>
  </si>
  <si>
    <t>par acre</t>
  </si>
  <si>
    <t>boisseau par acre</t>
  </si>
  <si>
    <t>% de la récolte</t>
  </si>
  <si>
    <t>Rendement de base par acre</t>
  </si>
  <si>
    <t>Pourcentage de base de la récolte</t>
  </si>
  <si>
    <t>Comparaison de location au comptant</t>
  </si>
  <si>
    <t>Dépenses au comptant</t>
  </si>
  <si>
    <t>Rendement boisseaux par acre</t>
  </si>
  <si>
    <t>Nombre de boisseaux</t>
  </si>
  <si>
    <t>Revenu de la récolte</t>
  </si>
  <si>
    <t>Encaisse nette</t>
  </si>
  <si>
    <t>Encaisse nette du locataire - location au comptant utilitsé</t>
  </si>
  <si>
    <t>Section A  - Investissement du propriétaire</t>
  </si>
  <si>
    <t>Valeur Totale</t>
  </si>
  <si>
    <t>Taux (%) ou durée de vie (années)</t>
  </si>
  <si>
    <t>Montant total</t>
  </si>
  <si>
    <t xml:space="preserve">Charge par acre </t>
  </si>
  <si>
    <t>Part du locataire</t>
  </si>
  <si>
    <t>Part du propriétaire</t>
  </si>
  <si>
    <t>Valeur de la terre (en excluant les biens personnels) et taux d'intérêts sur l'investissement (valeur x taux = charge par acre)</t>
  </si>
  <si>
    <t>Impôt foncier annuel (calcul facultatif exprimé en % de l'investissement)</t>
  </si>
  <si>
    <t>Valeur des améliorations foncières/acre et 
durée de vie utile</t>
  </si>
  <si>
    <t>Valeur du matériel utilisé appartenant au 
propriétaire</t>
  </si>
  <si>
    <t>Amortissement</t>
  </si>
  <si>
    <t>Intérêts moyens</t>
  </si>
  <si>
    <t>Section B - Produit tiré des récoltes revenant au locataire ou au propriétaire</t>
  </si>
  <si>
    <t>Culture 4</t>
  </si>
  <si>
    <t>Cultures 
combinées</t>
  </si>
  <si>
    <t>Prix par tonne ou boisseau (ou toute autre unité)</t>
  </si>
  <si>
    <t xml:space="preserve">Rendement total prévu </t>
  </si>
  <si>
    <t>Produit tiré de la récolte</t>
  </si>
  <si>
    <t>Paiements par les gouvernements</t>
  </si>
  <si>
    <t>Produit total par acre</t>
  </si>
  <si>
    <t>Moyenne pondérée</t>
  </si>
  <si>
    <t>Section C - Charges imputables au locataire ou au propriétaire</t>
  </si>
  <si>
    <t>Détail des charges liées aux cultures</t>
  </si>
  <si>
    <t>Herbicides</t>
  </si>
  <si>
    <t>Autres charges (améliorations foncières)</t>
  </si>
  <si>
    <t>Total des charges variables liées aux 
cultures par acre</t>
  </si>
  <si>
    <t>Total des charges variables liées aux
cultures</t>
  </si>
  <si>
    <t>Valeur du matériel appartenant au locataire et 
nombre total d'acres cultivés</t>
  </si>
  <si>
    <t>Investissement par acre attribuable à cette
culture</t>
  </si>
  <si>
    <t xml:space="preserve">Assurance </t>
  </si>
  <si>
    <t>Main-d'oeuvre et gestion</t>
  </si>
  <si>
    <t>Frais de main-d'oeuvre (heures par acre x taux par acre)</t>
  </si>
  <si>
    <t>Frais de gestion</t>
  </si>
  <si>
    <t>de l'investissement total</t>
  </si>
  <si>
    <t>Total des charges inhérentes aux cultures (sauf les dépenses d'investissement)</t>
  </si>
  <si>
    <t>Total des coûts y compris les coûts d'investissement</t>
  </si>
  <si>
    <t>Quote-part des récoltes</t>
  </si>
  <si>
    <t>Section D - Bénéfice net pour le locataire ou le propriétaire ou quote-part des récoltes</t>
  </si>
  <si>
    <t>Loyer au comptant</t>
  </si>
  <si>
    <t>Par acre</t>
  </si>
  <si>
    <t>Produit tiré des récoltes par acre</t>
  </si>
  <si>
    <t>Total des charges liées aux cultures (sauf Section A)</t>
  </si>
  <si>
    <t>Bénéfice net par acre</t>
  </si>
  <si>
    <t>Part due au propriétaire (Section A)</t>
  </si>
  <si>
    <t>Bénéfice net du locataire après versement de la part due au propriétaire</t>
  </si>
  <si>
    <t>Partage des récoltes</t>
  </si>
  <si>
    <t>Propriétaire</t>
  </si>
  <si>
    <t>Locataire</t>
  </si>
  <si>
    <t>Total des charges communes</t>
  </si>
  <si>
    <t>Quote-part revenant à chacun</t>
  </si>
  <si>
    <t>Produit</t>
  </si>
  <si>
    <t>Part des charges communes assumée par le 
propriétaire et le locataire</t>
  </si>
  <si>
    <t>Charges au comptant liées aux cultures (sauf les charges au titre des investissements et de l'amortissement)</t>
  </si>
  <si>
    <t>Bénéfice comptant tiré du partage des récoltes (après charges communes)</t>
  </si>
  <si>
    <t>Total des charges y compris investissement 
dans le bien-fonds et la machinerie</t>
  </si>
  <si>
    <r>
      <t>Bénéfice net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(après déduction de toutes les 
charges y compris le coût des investissements)</t>
    </r>
  </si>
  <si>
    <t>Location de pâturages</t>
  </si>
  <si>
    <t>Coût par acre</t>
  </si>
  <si>
    <t>Coût total</t>
  </si>
  <si>
    <t>Valeur foncière par acre</t>
  </si>
  <si>
    <t>Valeur de la terre (sol nu sans la partie occupée
par le propriétaire)</t>
  </si>
  <si>
    <t>Rendement moyen sur l'investissement dans la terre</t>
  </si>
  <si>
    <t>Montant annuel des taxes foncières (utiliser les données 
réelles si disponibles)</t>
  </si>
  <si>
    <t>Valeur des améliorations foncières par acre</t>
  </si>
  <si>
    <t>Autres investissements (valeur marchande)</t>
  </si>
  <si>
    <t>Clôtures</t>
  </si>
  <si>
    <t>Installations de manutention</t>
  </si>
  <si>
    <t xml:space="preserve">Autre </t>
  </si>
  <si>
    <t>Amortissement - nombre d'années de la durée de vie restante</t>
  </si>
  <si>
    <t>Intérêts moyens (utiliser la moitié du taux pour obtenir la moyenne)</t>
  </si>
  <si>
    <t>Réparations</t>
  </si>
  <si>
    <t>Assurance</t>
  </si>
  <si>
    <t>Frais de main-d'oeuvre</t>
  </si>
  <si>
    <t>Nombre d'heures par acre</t>
  </si>
  <si>
    <t>Gestion - % du capital géré</t>
  </si>
  <si>
    <t>Coût total liés à la propriété des pâturages</t>
  </si>
  <si>
    <t>Taux de chargement - nombre de têtes par acre</t>
  </si>
  <si>
    <t xml:space="preserve">Coût lié à la propriété des pâturages par tête (ligne D x ligne E) </t>
  </si>
  <si>
    <t>Investissement dans les animaux</t>
  </si>
  <si>
    <t>Poids des animaux à l'achat (lb)</t>
  </si>
  <si>
    <t>Prix d'achat par livre</t>
  </si>
  <si>
    <t>Prix d'achat par animal</t>
  </si>
  <si>
    <t>Coûts des animaux (en pourcentage de l'investissement dans les animaux)</t>
  </si>
  <si>
    <t>Taux d'intérêt moyen (intérêts de 1/2 année seulement)</t>
  </si>
  <si>
    <t>Frais de vétérinaire, d'assurance et divers</t>
  </si>
  <si>
    <t>Commercialisation et transport</t>
  </si>
  <si>
    <t>Perte par décès</t>
  </si>
  <si>
    <t>Total des coûts des animaux</t>
  </si>
  <si>
    <t>Coûts liés à la reproduction</t>
  </si>
  <si>
    <t>Main-d'oeuvre - nombre d'heures par tête</t>
  </si>
  <si>
    <t>Valeur de la main-d'oeuvre par heure</t>
  </si>
  <si>
    <t>Gestion (% de la valeur d'un animal)</t>
  </si>
  <si>
    <t>Total de la main-d'oeuvre et de la gestion</t>
  </si>
  <si>
    <t>Total des coûts liés aux animaux par tête</t>
  </si>
  <si>
    <t>Coût total de chaque animal</t>
  </si>
  <si>
    <t>Produits de la vente</t>
  </si>
  <si>
    <t>Poids des animaux (lb)</t>
  </si>
  <si>
    <t>Prix de vente par livre</t>
  </si>
  <si>
    <t>Rendement net par tête (ligne G - ligne F)</t>
  </si>
  <si>
    <t>Loyer maximal que l'on peut se permettre de payer par acre (lgne H x ligne I)</t>
  </si>
  <si>
    <t>Coûts liés à la propriété des pâturages - feuille de travail #1</t>
  </si>
  <si>
    <t>Rendement net de l'éleveur - feuille de travail #2</t>
  </si>
  <si>
    <t>Calcul d'un prix de partage de pâturages</t>
  </si>
  <si>
    <t>Coût par tête pour le propriétaire (ligne F de la feuille de travail #1)</t>
  </si>
  <si>
    <t>Coût par tête pour le locataire (ligne E de la feuille de travail #2)</t>
  </si>
  <si>
    <t>Coûts totaux par tête</t>
  </si>
  <si>
    <t>Pourcentage des coûts assumés par le propriétaire foncier</t>
  </si>
  <si>
    <t>Pourcentage des coûts assumés par le locataire</t>
  </si>
  <si>
    <t>Partage de rendement net suivant les pourcentages des coûts assumés par chacun</t>
  </si>
  <si>
    <t>Produit par tête (ligne G de la feuille de travail #2)</t>
  </si>
  <si>
    <t>Moins prix d'achat ( ligne A de la feuille de travail #2)</t>
  </si>
  <si>
    <t>Rendement net par tête</t>
  </si>
  <si>
    <t xml:space="preserve">Part du propriétaire foncier ( ligne A x ligne C ) </t>
  </si>
  <si>
    <t xml:space="preserve">Part du locataire ( ligne B x ligne C ) </t>
  </si>
  <si>
    <t>Conçu par Rob Gamble</t>
  </si>
  <si>
    <t>Chef de programme, Genres d’entreprises et questions financières</t>
  </si>
  <si>
    <t>MAAO, Guelph</t>
  </si>
  <si>
    <t>Courriel : rob.gamble@omaf.gov.on.ca</t>
  </si>
  <si>
    <t>Contrats de location au comptant à conditions variables - % de la récolte</t>
  </si>
  <si>
    <t xml:space="preserve">Calcul des coûts du locataire par culture </t>
  </si>
  <si>
    <t>Coûts liés à la propriété</t>
  </si>
  <si>
    <t>Situation du locataire - Pourcentage du revenu brut de la récolte</t>
  </si>
  <si>
    <t>Le tableau ci-desssus compare le rendement de la condition variable à une location au comptant par acre</t>
  </si>
  <si>
    <r>
      <t xml:space="preserve">           </t>
    </r>
    <r>
      <rPr>
        <b/>
        <sz val="10"/>
        <rFont val="Arial"/>
        <family val="2"/>
      </rPr>
      <t xml:space="preserve">Amortissement </t>
    </r>
    <r>
      <rPr>
        <sz val="10"/>
        <rFont val="Arial"/>
        <family val="2"/>
      </rPr>
      <t>(valeur / # d'années)</t>
    </r>
  </si>
  <si>
    <t>Menu - Outils de calcul des baux immobiliers</t>
  </si>
  <si>
    <r>
      <t xml:space="preserve">partage des récoltes </t>
    </r>
    <r>
      <rPr>
        <sz val="10"/>
        <rFont val="Times New Roman"/>
        <family val="1"/>
      </rPr>
      <t>calcule les parts de la récolte qu'un propriétaire et un locataire se partagent et analyse les revenus nets projetés.</t>
    </r>
  </si>
  <si>
    <t>1er janvier 2002</t>
  </si>
  <si>
    <t>L'encaisse nette est le revenu du locataire après les décaissements.</t>
  </si>
  <si>
    <t xml:space="preserve">          Impôts fonciers</t>
  </si>
  <si>
    <t>Revenu total par acre - Additionner ( D + E )</t>
  </si>
  <si>
    <t>Revenu total par culture  ( A x F )</t>
  </si>
  <si>
    <t>Le rendement de la location au comptant est le bénéfice après décaissements.</t>
  </si>
  <si>
    <t>Total des charges fixes</t>
  </si>
  <si>
    <r>
      <t>Les</t>
    </r>
    <r>
      <rPr>
        <b/>
        <sz val="10"/>
        <rFont val="Times New Roman"/>
        <family val="1"/>
      </rPr>
      <t xml:space="preserve"> outils de calcul des baux immobiliers</t>
    </r>
    <r>
      <rPr>
        <sz val="10"/>
        <rFont val="Times New Roman"/>
        <family val="1"/>
      </rPr>
      <t xml:space="preserve"> consistent en une série de feuilles de calcul qui vous permettent d'examiner divers types d'accords de location. </t>
    </r>
  </si>
  <si>
    <r>
      <t xml:space="preserve">Les propriétaires et les locataires peuvent examiner leurs coûts et déterminer si l'accord de location leur convient. La </t>
    </r>
    <r>
      <rPr>
        <b/>
        <sz val="10"/>
        <rFont val="Times New Roman"/>
        <family val="1"/>
      </rPr>
      <t>calculatrice de</t>
    </r>
  </si>
  <si>
    <t>Autres éléments</t>
  </si>
  <si>
    <t>Mise en garde à l'intention des propriétaires!</t>
  </si>
  <si>
    <t>Elle donne au propriétaire une base pour établir un prix de départ aux négociations de location au comptant.</t>
  </si>
  <si>
    <t>Les propriétaires touchent rarement un montant de location au comptant suffisant pour couvrir la totalité des</t>
  </si>
  <si>
    <r>
      <t xml:space="preserve">coûts asociés à la propriété. Par conséquent, cette méthode peut donner une </t>
    </r>
    <r>
      <rPr>
        <b/>
        <sz val="10"/>
        <color indexed="10"/>
        <rFont val="Arial"/>
        <family val="2"/>
      </rPr>
      <t>valeur extrêmement élevée</t>
    </r>
    <r>
      <rPr>
        <b/>
        <sz val="10"/>
        <rFont val="Arial"/>
        <family val="2"/>
      </rPr>
      <t xml:space="preserve">. </t>
    </r>
  </si>
  <si>
    <r>
      <t xml:space="preserve">Moyenne des charges variables par acre </t>
    </r>
    <r>
      <rPr>
        <b/>
        <sz val="9"/>
        <rFont val="Arial"/>
        <family val="2"/>
      </rPr>
      <t>( Ajouter les col. 1, 2 et 3 de la rangée L et diviser par H, nombre total d'acres )</t>
    </r>
  </si>
  <si>
    <t xml:space="preserve">Les dépenses au comptant comprennent les intrants (moyens de production), l'exploitation de la machinerie à taux forfaitaires, </t>
  </si>
  <si>
    <t>le séchage, l'assurance-récolte.</t>
  </si>
  <si>
    <t>en</t>
  </si>
  <si>
    <r>
      <t xml:space="preserve">Prix par tonne ou boisseau </t>
    </r>
    <r>
      <rPr>
        <sz val="9"/>
        <rFont val="Arial"/>
        <family val="2"/>
      </rPr>
      <t>(ou toute autre unité)</t>
    </r>
  </si>
  <si>
    <t>h/ac  @</t>
  </si>
  <si>
    <t>Loyer de base à conditions variables</t>
  </si>
  <si>
    <t>Taux de chargement - nombre d'acres requis par tête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</si>
</sst>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$&quot;#,##0"/>
    <numFmt numFmtId="168" formatCode="_(* #,##0_);_(* \(#,##0\);_(* &quot;-&quot;??_);_(@_)"/>
    <numFmt numFmtId="169" formatCode="0.0%"/>
    <numFmt numFmtId="170" formatCode="mmmm\ d\,\ yyyy"/>
    <numFmt numFmtId="171" formatCode="_-* #,##0.0_-;\-* #,##0.0_-;_-* &quot;-&quot;??_-;_-@_-"/>
    <numFmt numFmtId="172" formatCode="_-* #,##0_-;\-* #,##0_-;_-* &quot;-&quot;??_-;_-@_-"/>
    <numFmt numFmtId="173" formatCode="_-&quot;$&quot;* #,##0_-;\-&quot;$&quot;* #,##0_-;_-&quot;$&quot;* &quot;-&quot;??_-;_-@_-"/>
    <numFmt numFmtId="174" formatCode="_(* #,##0.0_);_(* \(#,##0.0\);_(* &quot;-&quot;??_);_(@_)"/>
    <numFmt numFmtId="175" formatCode="#,##0.00\ [$$-C0C]_-"/>
    <numFmt numFmtId="176" formatCode="#,##0\ [$$-C0C]_-"/>
  </numFmts>
  <fonts count="81">
    <font>
      <sz val="12"/>
      <name val="CG Times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9"/>
      <name val="CG Times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color indexed="9"/>
      <name val="CG Times"/>
      <family val="0"/>
    </font>
    <font>
      <b/>
      <sz val="12"/>
      <name val="CG Times"/>
      <family val="0"/>
    </font>
    <font>
      <sz val="10"/>
      <name val="CG Times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2"/>
      <name val="Times New Roman"/>
      <family val="1"/>
    </font>
    <font>
      <sz val="18"/>
      <color indexed="9"/>
      <name val="Arial"/>
      <family val="2"/>
    </font>
    <font>
      <sz val="20"/>
      <color indexed="9"/>
      <name val="Arial"/>
      <family val="2"/>
    </font>
    <font>
      <sz val="22"/>
      <color indexed="9"/>
      <name val="CG 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43"/>
      <name val="Times New Roman"/>
      <family val="1"/>
    </font>
    <font>
      <sz val="11"/>
      <color indexed="43"/>
      <name val="Times New Roman"/>
      <family val="1"/>
    </font>
    <font>
      <b/>
      <sz val="18"/>
      <color indexed="43"/>
      <name val="Arial"/>
      <family val="2"/>
    </font>
    <font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G Times"/>
      <family val="0"/>
    </font>
    <font>
      <b/>
      <sz val="12"/>
      <color indexed="8"/>
      <name val="CG Times"/>
      <family val="0"/>
    </font>
    <font>
      <b/>
      <sz val="16"/>
      <color indexed="8"/>
      <name val="CG Times"/>
      <family val="0"/>
    </font>
    <font>
      <sz val="11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168" fontId="6" fillId="33" borderId="11" xfId="42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9" fontId="6" fillId="0" borderId="11" xfId="57" applyNumberFormat="1" applyFont="1" applyBorder="1" applyAlignment="1">
      <alignment/>
    </xf>
    <xf numFmtId="44" fontId="5" fillId="0" borderId="11" xfId="44" applyFont="1" applyBorder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10" fontId="6" fillId="0" borderId="11" xfId="57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4" fontId="5" fillId="0" borderId="0" xfId="44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44" applyNumberFormat="1" applyFont="1" applyFill="1" applyBorder="1" applyAlignment="1">
      <alignment/>
    </xf>
    <xf numFmtId="44" fontId="8" fillId="0" borderId="0" xfId="44" applyFont="1" applyFill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9" fontId="6" fillId="0" borderId="0" xfId="57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9" fontId="8" fillId="0" borderId="0" xfId="57" applyNumberFormat="1" applyFont="1" applyFill="1" applyBorder="1" applyAlignment="1">
      <alignment/>
    </xf>
    <xf numFmtId="44" fontId="4" fillId="0" borderId="0" xfId="44" applyFont="1" applyFill="1" applyBorder="1" applyAlignment="1">
      <alignment/>
    </xf>
    <xf numFmtId="10" fontId="8" fillId="0" borderId="0" xfId="57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65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44" applyNumberFormat="1" applyFont="1" applyFill="1" applyBorder="1" applyAlignment="1">
      <alignment horizontal="center"/>
    </xf>
    <xf numFmtId="165" fontId="5" fillId="0" borderId="11" xfId="44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44" fontId="6" fillId="0" borderId="11" xfId="44" applyFont="1" applyFill="1" applyBorder="1" applyAlignment="1">
      <alignment/>
    </xf>
    <xf numFmtId="169" fontId="6" fillId="0" borderId="11" xfId="57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165" fontId="5" fillId="0" borderId="18" xfId="44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173" fontId="5" fillId="0" borderId="11" xfId="0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173" fontId="14" fillId="0" borderId="11" xfId="0" applyNumberFormat="1" applyFont="1" applyFill="1" applyBorder="1" applyAlignment="1">
      <alignment horizontal="center"/>
    </xf>
    <xf numFmtId="165" fontId="14" fillId="0" borderId="11" xfId="44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1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44" fontId="6" fillId="0" borderId="12" xfId="44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9" fontId="8" fillId="0" borderId="11" xfId="57" applyFont="1" applyFill="1" applyBorder="1" applyAlignment="1">
      <alignment/>
    </xf>
    <xf numFmtId="169" fontId="8" fillId="0" borderId="11" xfId="57" applyNumberFormat="1" applyFont="1" applyFill="1" applyBorder="1" applyAlignment="1">
      <alignment/>
    </xf>
    <xf numFmtId="43" fontId="5" fillId="0" borderId="17" xfId="42" applyFont="1" applyFill="1" applyBorder="1" applyAlignment="1">
      <alignment/>
    </xf>
    <xf numFmtId="43" fontId="8" fillId="0" borderId="11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9" fillId="34" borderId="0" xfId="0" applyFont="1" applyFill="1" applyAlignment="1">
      <alignment wrapText="1"/>
    </xf>
    <xf numFmtId="0" fontId="19" fillId="34" borderId="0" xfId="0" applyFont="1" applyFill="1" applyBorder="1" applyAlignment="1">
      <alignment/>
    </xf>
    <xf numFmtId="44" fontId="19" fillId="34" borderId="0" xfId="44" applyFont="1" applyFill="1" applyBorder="1" applyAlignment="1">
      <alignment/>
    </xf>
    <xf numFmtId="165" fontId="19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vertical="top"/>
    </xf>
    <xf numFmtId="0" fontId="4" fillId="34" borderId="20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>
      <alignment/>
    </xf>
    <xf numFmtId="172" fontId="8" fillId="35" borderId="11" xfId="42" applyNumberFormat="1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172" fontId="6" fillId="35" borderId="11" xfId="42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35" borderId="1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left" indent="2"/>
    </xf>
    <xf numFmtId="172" fontId="8" fillId="0" borderId="11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44" fontId="8" fillId="0" borderId="11" xfId="44" applyFont="1" applyBorder="1" applyAlignment="1">
      <alignment/>
    </xf>
    <xf numFmtId="174" fontId="8" fillId="0" borderId="11" xfId="42" applyNumberFormat="1" applyFont="1" applyBorder="1" applyAlignment="1">
      <alignment/>
    </xf>
    <xf numFmtId="0" fontId="5" fillId="36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9" fillId="34" borderId="11" xfId="0" applyFont="1" applyFill="1" applyBorder="1" applyAlignment="1">
      <alignment horizontal="center"/>
    </xf>
    <xf numFmtId="169" fontId="6" fillId="35" borderId="11" xfId="57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2" fontId="4" fillId="0" borderId="11" xfId="0" applyNumberFormat="1" applyFont="1" applyBorder="1" applyAlignment="1">
      <alignment/>
    </xf>
    <xf numFmtId="172" fontId="5" fillId="0" borderId="11" xfId="42" applyNumberFormat="1" applyFont="1" applyFill="1" applyBorder="1" applyAlignment="1">
      <alignment/>
    </xf>
    <xf numFmtId="44" fontId="4" fillId="0" borderId="11" xfId="44" applyFont="1" applyBorder="1" applyAlignment="1">
      <alignment/>
    </xf>
    <xf numFmtId="164" fontId="4" fillId="0" borderId="11" xfId="44" applyNumberFormat="1" applyFont="1" applyBorder="1" applyAlignment="1">
      <alignment/>
    </xf>
    <xf numFmtId="169" fontId="8" fillId="0" borderId="11" xfId="57" applyNumberFormat="1" applyFont="1" applyBorder="1" applyAlignment="1">
      <alignment/>
    </xf>
    <xf numFmtId="0" fontId="4" fillId="0" borderId="11" xfId="0" applyFont="1" applyBorder="1" applyAlignment="1">
      <alignment horizontal="left" indent="2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3" fontId="4" fillId="0" borderId="12" xfId="0" applyNumberFormat="1" applyFont="1" applyBorder="1" applyAlignment="1">
      <alignment/>
    </xf>
    <xf numFmtId="169" fontId="4" fillId="0" borderId="11" xfId="57" applyNumberFormat="1" applyFont="1" applyBorder="1" applyAlignment="1">
      <alignment/>
    </xf>
    <xf numFmtId="0" fontId="22" fillId="34" borderId="23" xfId="0" applyFont="1" applyFill="1" applyBorder="1" applyAlignment="1">
      <alignment/>
    </xf>
    <xf numFmtId="0" fontId="0" fillId="34" borderId="18" xfId="0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5" borderId="12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23" fillId="35" borderId="13" xfId="0" applyFont="1" applyFill="1" applyBorder="1" applyAlignment="1">
      <alignment/>
    </xf>
    <xf numFmtId="0" fontId="23" fillId="35" borderId="24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172" fontId="6" fillId="0" borderId="11" xfId="42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172" fontId="4" fillId="0" borderId="0" xfId="0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Alignment="1">
      <alignment/>
    </xf>
    <xf numFmtId="44" fontId="5" fillId="0" borderId="0" xfId="44" applyFont="1" applyFill="1" applyBorder="1" applyAlignment="1">
      <alignment vertical="top" wrapText="1"/>
    </xf>
    <xf numFmtId="43" fontId="8" fillId="33" borderId="0" xfId="42" applyFont="1" applyFill="1" applyBorder="1" applyAlignment="1">
      <alignment/>
    </xf>
    <xf numFmtId="43" fontId="5" fillId="33" borderId="0" xfId="42" applyFont="1" applyFill="1" applyBorder="1" applyAlignment="1">
      <alignment/>
    </xf>
    <xf numFmtId="44" fontId="5" fillId="33" borderId="0" xfId="44" applyFont="1" applyFill="1" applyBorder="1" applyAlignment="1">
      <alignment/>
    </xf>
    <xf numFmtId="0" fontId="5" fillId="37" borderId="0" xfId="0" applyFont="1" applyFill="1" applyBorder="1" applyAlignment="1">
      <alignment/>
    </xf>
    <xf numFmtId="173" fontId="5" fillId="33" borderId="0" xfId="42" applyNumberFormat="1" applyFont="1" applyFill="1" applyBorder="1" applyAlignment="1">
      <alignment/>
    </xf>
    <xf numFmtId="0" fontId="5" fillId="38" borderId="22" xfId="0" applyFont="1" applyFill="1" applyBorder="1" applyAlignment="1">
      <alignment vertical="top" wrapText="1"/>
    </xf>
    <xf numFmtId="0" fontId="5" fillId="38" borderId="13" xfId="0" applyFont="1" applyFill="1" applyBorder="1" applyAlignment="1">
      <alignment/>
    </xf>
    <xf numFmtId="165" fontId="5" fillId="38" borderId="13" xfId="0" applyNumberFormat="1" applyFont="1" applyFill="1" applyBorder="1" applyAlignment="1">
      <alignment/>
    </xf>
    <xf numFmtId="169" fontId="5" fillId="38" borderId="13" xfId="57" applyNumberFormat="1" applyFont="1" applyFill="1" applyBorder="1" applyAlignment="1">
      <alignment/>
    </xf>
    <xf numFmtId="169" fontId="5" fillId="38" borderId="24" xfId="57" applyNumberFormat="1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165" fontId="5" fillId="38" borderId="25" xfId="0" applyNumberFormat="1" applyFont="1" applyFill="1" applyBorder="1" applyAlignment="1">
      <alignment/>
    </xf>
    <xf numFmtId="44" fontId="5" fillId="38" borderId="0" xfId="44" applyFont="1" applyFill="1" applyBorder="1" applyAlignment="1">
      <alignment/>
    </xf>
    <xf numFmtId="43" fontId="5" fillId="38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173" fontId="5" fillId="33" borderId="0" xfId="44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73" fontId="5" fillId="38" borderId="0" xfId="44" applyNumberFormat="1" applyFont="1" applyFill="1" applyBorder="1" applyAlignment="1">
      <alignment/>
    </xf>
    <xf numFmtId="172" fontId="5" fillId="33" borderId="0" xfId="42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5" fillId="34" borderId="18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1" fontId="19" fillId="34" borderId="23" xfId="0" applyNumberFormat="1" applyFont="1" applyFill="1" applyBorder="1" applyAlignment="1">
      <alignment horizontal="center"/>
    </xf>
    <xf numFmtId="0" fontId="19" fillId="34" borderId="23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30" fillId="0" borderId="0" xfId="0" applyFont="1" applyAlignment="1">
      <alignment/>
    </xf>
    <xf numFmtId="0" fontId="17" fillId="34" borderId="12" xfId="0" applyFont="1" applyFill="1" applyBorder="1" applyAlignment="1">
      <alignment vertical="top" wrapText="1"/>
    </xf>
    <xf numFmtId="0" fontId="4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165" fontId="5" fillId="33" borderId="17" xfId="44" applyNumberFormat="1" applyFont="1" applyFill="1" applyBorder="1" applyAlignment="1">
      <alignment/>
    </xf>
    <xf numFmtId="0" fontId="5" fillId="33" borderId="11" xfId="44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172" fontId="5" fillId="33" borderId="17" xfId="42" applyNumberFormat="1" applyFont="1" applyFill="1" applyBorder="1" applyAlignment="1">
      <alignment/>
    </xf>
    <xf numFmtId="173" fontId="5" fillId="33" borderId="11" xfId="0" applyNumberFormat="1" applyFont="1" applyFill="1" applyBorder="1" applyAlignment="1">
      <alignment horizontal="center"/>
    </xf>
    <xf numFmtId="172" fontId="5" fillId="33" borderId="11" xfId="42" applyNumberFormat="1" applyFont="1" applyFill="1" applyBorder="1" applyAlignment="1">
      <alignment/>
    </xf>
    <xf numFmtId="2" fontId="4" fillId="33" borderId="11" xfId="57" applyNumberFormat="1" applyFont="1" applyFill="1" applyBorder="1" applyAlignment="1">
      <alignment/>
    </xf>
    <xf numFmtId="43" fontId="4" fillId="33" borderId="11" xfId="42" applyFont="1" applyFill="1" applyBorder="1" applyAlignment="1">
      <alignment/>
    </xf>
    <xf numFmtId="43" fontId="6" fillId="33" borderId="26" xfId="42" applyFont="1" applyFill="1" applyBorder="1" applyAlignment="1">
      <alignment/>
    </xf>
    <xf numFmtId="165" fontId="4" fillId="33" borderId="11" xfId="0" applyNumberFormat="1" applyFont="1" applyFill="1" applyBorder="1" applyAlignment="1">
      <alignment/>
    </xf>
    <xf numFmtId="43" fontId="4" fillId="33" borderId="17" xfId="42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21" fillId="34" borderId="23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1" fillId="34" borderId="18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3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8" fillId="34" borderId="20" xfId="0" applyFont="1" applyFill="1" applyBorder="1" applyAlignment="1">
      <alignment/>
    </xf>
    <xf numFmtId="0" fontId="18" fillId="34" borderId="25" xfId="0" applyFont="1" applyFill="1" applyBorder="1" applyAlignment="1">
      <alignment/>
    </xf>
    <xf numFmtId="0" fontId="31" fillId="34" borderId="19" xfId="0" applyFont="1" applyFill="1" applyBorder="1" applyAlignment="1">
      <alignment/>
    </xf>
    <xf numFmtId="0" fontId="4" fillId="34" borderId="25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>
      <alignment/>
    </xf>
    <xf numFmtId="0" fontId="5" fillId="38" borderId="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0" fontId="4" fillId="38" borderId="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0" borderId="21" xfId="0" applyFont="1" applyBorder="1" applyAlignment="1">
      <alignment wrapText="1"/>
    </xf>
    <xf numFmtId="172" fontId="8" fillId="0" borderId="0" xfId="42" applyNumberFormat="1" applyFont="1" applyBorder="1" applyAlignment="1">
      <alignment/>
    </xf>
    <xf numFmtId="169" fontId="8" fillId="0" borderId="0" xfId="57" applyNumberFormat="1" applyFont="1" applyBorder="1" applyAlignment="1">
      <alignment/>
    </xf>
    <xf numFmtId="43" fontId="4" fillId="0" borderId="0" xfId="42" applyFont="1" applyBorder="1" applyAlignment="1">
      <alignment/>
    </xf>
    <xf numFmtId="2" fontId="4" fillId="0" borderId="0" xfId="0" applyNumberFormat="1" applyFont="1" applyBorder="1" applyAlignment="1">
      <alignment/>
    </xf>
    <xf numFmtId="44" fontId="4" fillId="38" borderId="0" xfId="0" applyNumberFormat="1" applyFont="1" applyFill="1" applyBorder="1" applyAlignment="1">
      <alignment/>
    </xf>
    <xf numFmtId="44" fontId="4" fillId="38" borderId="1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43" fontId="8" fillId="0" borderId="0" xfId="42" applyFont="1" applyBorder="1" applyAlignment="1">
      <alignment/>
    </xf>
    <xf numFmtId="1" fontId="8" fillId="0" borderId="0" xfId="0" applyNumberFormat="1" applyFont="1" applyBorder="1" applyAlignment="1">
      <alignment/>
    </xf>
    <xf numFmtId="9" fontId="8" fillId="0" borderId="0" xfId="57" applyFont="1" applyBorder="1" applyAlignment="1">
      <alignment/>
    </xf>
    <xf numFmtId="0" fontId="5" fillId="0" borderId="21" xfId="0" applyFont="1" applyFill="1" applyBorder="1" applyAlignment="1">
      <alignment horizontal="right"/>
    </xf>
    <xf numFmtId="44" fontId="5" fillId="38" borderId="10" xfId="44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8" fillId="38" borderId="0" xfId="57" applyFont="1" applyFill="1" applyBorder="1" applyAlignment="1">
      <alignment/>
    </xf>
    <xf numFmtId="9" fontId="4" fillId="38" borderId="10" xfId="57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27" fillId="33" borderId="21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173" fontId="5" fillId="38" borderId="10" xfId="44" applyNumberFormat="1" applyFont="1" applyFill="1" applyBorder="1" applyAlignment="1">
      <alignment/>
    </xf>
    <xf numFmtId="0" fontId="5" fillId="33" borderId="21" xfId="0" applyFont="1" applyFill="1" applyBorder="1" applyAlignment="1">
      <alignment vertical="top"/>
    </xf>
    <xf numFmtId="173" fontId="5" fillId="33" borderId="10" xfId="44" applyNumberFormat="1" applyFont="1" applyFill="1" applyBorder="1" applyAlignment="1">
      <alignment/>
    </xf>
    <xf numFmtId="172" fontId="8" fillId="0" borderId="0" xfId="42" applyNumberFormat="1" applyFont="1" applyFill="1" applyBorder="1" applyAlignment="1">
      <alignment/>
    </xf>
    <xf numFmtId="10" fontId="8" fillId="0" borderId="0" xfId="57" applyNumberFormat="1" applyFont="1" applyBorder="1" applyAlignment="1">
      <alignment/>
    </xf>
    <xf numFmtId="43" fontId="5" fillId="0" borderId="0" xfId="42" applyFont="1" applyBorder="1" applyAlignment="1">
      <alignment/>
    </xf>
    <xf numFmtId="0" fontId="5" fillId="33" borderId="2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44" fontId="4" fillId="38" borderId="10" xfId="44" applyFont="1" applyFill="1" applyBorder="1" applyAlignment="1">
      <alignment/>
    </xf>
    <xf numFmtId="0" fontId="5" fillId="37" borderId="21" xfId="0" applyFont="1" applyFill="1" applyBorder="1" applyAlignment="1">
      <alignment vertical="top"/>
    </xf>
    <xf numFmtId="0" fontId="19" fillId="34" borderId="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165" fontId="5" fillId="0" borderId="0" xfId="0" applyNumberFormat="1" applyFont="1" applyBorder="1" applyAlignment="1">
      <alignment/>
    </xf>
    <xf numFmtId="44" fontId="5" fillId="0" borderId="10" xfId="44" applyFont="1" applyFill="1" applyBorder="1" applyAlignment="1">
      <alignment/>
    </xf>
    <xf numFmtId="0" fontId="10" fillId="33" borderId="2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44" fontId="5" fillId="33" borderId="10" xfId="44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3" fontId="5" fillId="0" borderId="1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4" fillId="0" borderId="10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0" fontId="4" fillId="38" borderId="21" xfId="0" applyFont="1" applyFill="1" applyBorder="1" applyAlignment="1">
      <alignment/>
    </xf>
    <xf numFmtId="43" fontId="5" fillId="38" borderId="10" xfId="42" applyFont="1" applyFill="1" applyBorder="1" applyAlignment="1">
      <alignment/>
    </xf>
    <xf numFmtId="0" fontId="5" fillId="38" borderId="21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43" fontId="5" fillId="0" borderId="13" xfId="42" applyFont="1" applyBorder="1" applyAlignment="1">
      <alignment/>
    </xf>
    <xf numFmtId="43" fontId="5" fillId="0" borderId="24" xfId="42" applyFont="1" applyFill="1" applyBorder="1" applyAlignment="1">
      <alignment/>
    </xf>
    <xf numFmtId="0" fontId="17" fillId="34" borderId="19" xfId="0" applyFont="1" applyFill="1" applyBorder="1" applyAlignment="1" applyProtection="1">
      <alignment/>
      <protection locked="0"/>
    </xf>
    <xf numFmtId="0" fontId="17" fillId="34" borderId="21" xfId="0" applyFont="1" applyFill="1" applyBorder="1" applyAlignment="1" applyProtection="1">
      <alignment/>
      <protection locked="0"/>
    </xf>
    <xf numFmtId="0" fontId="32" fillId="34" borderId="12" xfId="0" applyFont="1" applyFill="1" applyBorder="1" applyAlignment="1">
      <alignment/>
    </xf>
    <xf numFmtId="0" fontId="33" fillId="34" borderId="0" xfId="0" applyFont="1" applyFill="1" applyAlignment="1">
      <alignment/>
    </xf>
    <xf numFmtId="166" fontId="6" fillId="0" borderId="0" xfId="0" applyNumberFormat="1" applyFont="1" applyBorder="1" applyAlignment="1">
      <alignment/>
    </xf>
    <xf numFmtId="9" fontId="6" fillId="0" borderId="0" xfId="57" applyFont="1" applyBorder="1" applyAlignment="1">
      <alignment/>
    </xf>
    <xf numFmtId="1" fontId="6" fillId="0" borderId="13" xfId="57" applyNumberFormat="1" applyFont="1" applyBorder="1" applyAlignment="1">
      <alignment/>
    </xf>
    <xf numFmtId="0" fontId="5" fillId="0" borderId="27" xfId="0" applyFont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1" fontId="5" fillId="35" borderId="27" xfId="0" applyNumberFormat="1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1" fontId="5" fillId="0" borderId="29" xfId="0" applyNumberFormat="1" applyFont="1" applyBorder="1" applyAlignment="1">
      <alignment/>
    </xf>
    <xf numFmtId="9" fontId="5" fillId="35" borderId="30" xfId="0" applyNumberFormat="1" applyFont="1" applyFill="1" applyBorder="1" applyAlignment="1">
      <alignment/>
    </xf>
    <xf numFmtId="1" fontId="4" fillId="35" borderId="30" xfId="0" applyNumberFormat="1" applyFont="1" applyFill="1" applyBorder="1" applyAlignment="1">
      <alignment/>
    </xf>
    <xf numFmtId="167" fontId="4" fillId="35" borderId="30" xfId="0" applyNumberFormat="1" applyFont="1" applyFill="1" applyBorder="1" applyAlignment="1">
      <alignment/>
    </xf>
    <xf numFmtId="9" fontId="4" fillId="33" borderId="30" xfId="0" applyNumberFormat="1" applyFont="1" applyFill="1" applyBorder="1" applyAlignment="1">
      <alignment/>
    </xf>
    <xf numFmtId="1" fontId="4" fillId="33" borderId="30" xfId="0" applyNumberFormat="1" applyFont="1" applyFill="1" applyBorder="1" applyAlignment="1">
      <alignment/>
    </xf>
    <xf numFmtId="167" fontId="4" fillId="33" borderId="30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6" fontId="4" fillId="39" borderId="31" xfId="0" applyNumberFormat="1" applyFont="1" applyFill="1" applyBorder="1" applyAlignment="1">
      <alignment/>
    </xf>
    <xf numFmtId="9" fontId="4" fillId="35" borderId="23" xfId="0" applyNumberFormat="1" applyFont="1" applyFill="1" applyBorder="1" applyAlignment="1">
      <alignment/>
    </xf>
    <xf numFmtId="1" fontId="4" fillId="35" borderId="23" xfId="0" applyNumberFormat="1" applyFont="1" applyFill="1" applyBorder="1" applyAlignment="1">
      <alignment/>
    </xf>
    <xf numFmtId="167" fontId="4" fillId="35" borderId="23" xfId="0" applyNumberFormat="1" applyFont="1" applyFill="1" applyBorder="1" applyAlignment="1">
      <alignment/>
    </xf>
    <xf numFmtId="9" fontId="4" fillId="33" borderId="23" xfId="0" applyNumberFormat="1" applyFont="1" applyFill="1" applyBorder="1" applyAlignment="1">
      <alignment/>
    </xf>
    <xf numFmtId="1" fontId="4" fillId="33" borderId="23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166" fontId="4" fillId="39" borderId="18" xfId="0" applyNumberFormat="1" applyFont="1" applyFill="1" applyBorder="1" applyAlignment="1">
      <alignment/>
    </xf>
    <xf numFmtId="9" fontId="4" fillId="35" borderId="13" xfId="0" applyNumberFormat="1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167" fontId="4" fillId="35" borderId="13" xfId="0" applyNumberFormat="1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67" fontId="4" fillId="33" borderId="13" xfId="0" applyNumberFormat="1" applyFont="1" applyFill="1" applyBorder="1" applyAlignment="1">
      <alignment/>
    </xf>
    <xf numFmtId="166" fontId="4" fillId="33" borderId="13" xfId="0" applyNumberFormat="1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9" fontId="4" fillId="35" borderId="33" xfId="0" applyNumberFormat="1" applyFont="1" applyFill="1" applyBorder="1" applyAlignment="1">
      <alignment/>
    </xf>
    <xf numFmtId="1" fontId="4" fillId="35" borderId="33" xfId="0" applyNumberFormat="1" applyFont="1" applyFill="1" applyBorder="1" applyAlignment="1">
      <alignment/>
    </xf>
    <xf numFmtId="167" fontId="4" fillId="35" borderId="33" xfId="0" applyNumberFormat="1" applyFont="1" applyFill="1" applyBorder="1" applyAlignment="1">
      <alignment/>
    </xf>
    <xf numFmtId="9" fontId="4" fillId="33" borderId="33" xfId="0" applyNumberFormat="1" applyFont="1" applyFill="1" applyBorder="1" applyAlignment="1">
      <alignment/>
    </xf>
    <xf numFmtId="1" fontId="4" fillId="33" borderId="33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166" fontId="4" fillId="33" borderId="33" xfId="0" applyNumberFormat="1" applyFont="1" applyFill="1" applyBorder="1" applyAlignment="1">
      <alignment/>
    </xf>
    <xf numFmtId="166" fontId="4" fillId="39" borderId="34" xfId="0" applyNumberFormat="1" applyFont="1" applyFill="1" applyBorder="1" applyAlignment="1">
      <alignment/>
    </xf>
    <xf numFmtId="167" fontId="6" fillId="0" borderId="0" xfId="0" applyNumberFormat="1" applyFont="1" applyBorder="1" applyAlignment="1">
      <alignment horizontal="right"/>
    </xf>
    <xf numFmtId="0" fontId="31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170" fontId="24" fillId="0" borderId="0" xfId="0" applyNumberFormat="1" applyFont="1" applyAlignment="1">
      <alignment horizontal="left"/>
    </xf>
    <xf numFmtId="0" fontId="6" fillId="33" borderId="18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5" fillId="35" borderId="19" xfId="0" applyFont="1" applyFill="1" applyBorder="1" applyAlignment="1">
      <alignment/>
    </xf>
    <xf numFmtId="0" fontId="13" fillId="35" borderId="20" xfId="0" applyFont="1" applyFill="1" applyBorder="1" applyAlignment="1">
      <alignment/>
    </xf>
    <xf numFmtId="173" fontId="36" fillId="35" borderId="20" xfId="44" applyNumberFormat="1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5" borderId="21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35" fillId="38" borderId="19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36" fillId="38" borderId="20" xfId="0" applyFont="1" applyFill="1" applyBorder="1" applyAlignment="1">
      <alignment/>
    </xf>
    <xf numFmtId="0" fontId="13" fillId="38" borderId="25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38" borderId="21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34" fillId="40" borderId="11" xfId="0" applyFont="1" applyFill="1" applyBorder="1" applyAlignment="1">
      <alignment/>
    </xf>
    <xf numFmtId="39" fontId="13" fillId="40" borderId="11" xfId="0" applyNumberFormat="1" applyFont="1" applyFill="1" applyBorder="1" applyAlignment="1">
      <alignment/>
    </xf>
    <xf numFmtId="0" fontId="13" fillId="38" borderId="22" xfId="0" applyFont="1" applyFill="1" applyBorder="1" applyAlignment="1">
      <alignment/>
    </xf>
    <xf numFmtId="0" fontId="13" fillId="38" borderId="13" xfId="0" applyFont="1" applyFill="1" applyBorder="1" applyAlignment="1">
      <alignment/>
    </xf>
    <xf numFmtId="0" fontId="13" fillId="38" borderId="24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Fill="1" applyBorder="1" applyAlignment="1">
      <alignment/>
    </xf>
    <xf numFmtId="44" fontId="36" fillId="0" borderId="0" xfId="44" applyFont="1" applyFill="1" applyBorder="1" applyAlignment="1">
      <alignment horizontal="center"/>
    </xf>
    <xf numFmtId="0" fontId="13" fillId="0" borderId="0" xfId="0" applyFont="1" applyFill="1" applyAlignment="1">
      <alignment/>
    </xf>
    <xf numFmtId="44" fontId="34" fillId="0" borderId="0" xfId="44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44" fontId="37" fillId="0" borderId="23" xfId="44" applyFont="1" applyFill="1" applyBorder="1" applyAlignment="1">
      <alignment horizontal="center"/>
    </xf>
    <xf numFmtId="44" fontId="37" fillId="0" borderId="18" xfId="44" applyFont="1" applyFill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23" xfId="0" applyFont="1" applyBorder="1" applyAlignment="1">
      <alignment/>
    </xf>
    <xf numFmtId="0" fontId="13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34" fillId="39" borderId="37" xfId="0" applyFont="1" applyFill="1" applyBorder="1" applyAlignment="1">
      <alignment/>
    </xf>
    <xf numFmtId="0" fontId="34" fillId="39" borderId="11" xfId="0" applyFont="1" applyFill="1" applyBorder="1" applyAlignment="1">
      <alignment/>
    </xf>
    <xf numFmtId="0" fontId="34" fillId="39" borderId="38" xfId="0" applyFont="1" applyFill="1" applyBorder="1" applyAlignment="1">
      <alignment/>
    </xf>
    <xf numFmtId="0" fontId="34" fillId="39" borderId="12" xfId="0" applyFont="1" applyFill="1" applyBorder="1" applyAlignment="1">
      <alignment/>
    </xf>
    <xf numFmtId="39" fontId="13" fillId="35" borderId="37" xfId="0" applyNumberFormat="1" applyFont="1" applyFill="1" applyBorder="1" applyAlignment="1">
      <alignment/>
    </xf>
    <xf numFmtId="39" fontId="13" fillId="35" borderId="11" xfId="0" applyNumberFormat="1" applyFont="1" applyFill="1" applyBorder="1" applyAlignment="1">
      <alignment/>
    </xf>
    <xf numFmtId="39" fontId="13" fillId="35" borderId="38" xfId="0" applyNumberFormat="1" applyFont="1" applyFill="1" applyBorder="1" applyAlignment="1">
      <alignment/>
    </xf>
    <xf numFmtId="2" fontId="13" fillId="33" borderId="37" xfId="0" applyNumberFormat="1" applyFont="1" applyFill="1" applyBorder="1" applyAlignment="1">
      <alignment/>
    </xf>
    <xf numFmtId="39" fontId="13" fillId="38" borderId="37" xfId="0" applyNumberFormat="1" applyFont="1" applyFill="1" applyBorder="1" applyAlignment="1">
      <alignment/>
    </xf>
    <xf numFmtId="39" fontId="13" fillId="38" borderId="11" xfId="0" applyNumberFormat="1" applyFont="1" applyFill="1" applyBorder="1" applyAlignment="1">
      <alignment/>
    </xf>
    <xf numFmtId="39" fontId="13" fillId="38" borderId="38" xfId="0" applyNumberFormat="1" applyFont="1" applyFill="1" applyBorder="1" applyAlignment="1">
      <alignment/>
    </xf>
    <xf numFmtId="39" fontId="13" fillId="35" borderId="39" xfId="0" applyNumberFormat="1" applyFont="1" applyFill="1" applyBorder="1" applyAlignment="1">
      <alignment/>
    </xf>
    <xf numFmtId="39" fontId="13" fillId="35" borderId="27" xfId="0" applyNumberFormat="1" applyFont="1" applyFill="1" applyBorder="1" applyAlignment="1">
      <alignment/>
    </xf>
    <xf numFmtId="39" fontId="13" fillId="35" borderId="40" xfId="0" applyNumberFormat="1" applyFont="1" applyFill="1" applyBorder="1" applyAlignment="1">
      <alignment/>
    </xf>
    <xf numFmtId="39" fontId="13" fillId="38" borderId="39" xfId="0" applyNumberFormat="1" applyFont="1" applyFill="1" applyBorder="1" applyAlignment="1">
      <alignment/>
    </xf>
    <xf numFmtId="39" fontId="13" fillId="38" borderId="27" xfId="0" applyNumberFormat="1" applyFont="1" applyFill="1" applyBorder="1" applyAlignment="1">
      <alignment/>
    </xf>
    <xf numFmtId="39" fontId="13" fillId="38" borderId="40" xfId="0" applyNumberFormat="1" applyFont="1" applyFill="1" applyBorder="1" applyAlignment="1">
      <alignment/>
    </xf>
    <xf numFmtId="0" fontId="34" fillId="0" borderId="0" xfId="0" applyFont="1" applyAlignment="1">
      <alignment/>
    </xf>
    <xf numFmtId="2" fontId="13" fillId="35" borderId="11" xfId="57" applyNumberFormat="1" applyFont="1" applyFill="1" applyBorder="1" applyAlignment="1">
      <alignment/>
    </xf>
    <xf numFmtId="2" fontId="13" fillId="33" borderId="11" xfId="57" applyNumberFormat="1" applyFont="1" applyFill="1" applyBorder="1" applyAlignment="1">
      <alignment/>
    </xf>
    <xf numFmtId="2" fontId="13" fillId="38" borderId="11" xfId="57" applyNumberFormat="1" applyFont="1" applyFill="1" applyBorder="1" applyAlignment="1">
      <alignment/>
    </xf>
    <xf numFmtId="2" fontId="38" fillId="35" borderId="11" xfId="57" applyNumberFormat="1" applyFont="1" applyFill="1" applyBorder="1" applyAlignment="1">
      <alignment/>
    </xf>
    <xf numFmtId="2" fontId="38" fillId="33" borderId="11" xfId="57" applyNumberFormat="1" applyFont="1" applyFill="1" applyBorder="1" applyAlignment="1">
      <alignment/>
    </xf>
    <xf numFmtId="2" fontId="38" fillId="38" borderId="11" xfId="57" applyNumberFormat="1" applyFont="1" applyFill="1" applyBorder="1" applyAlignment="1">
      <alignment/>
    </xf>
    <xf numFmtId="169" fontId="13" fillId="35" borderId="11" xfId="57" applyNumberFormat="1" applyFont="1" applyFill="1" applyBorder="1" applyAlignment="1">
      <alignment/>
    </xf>
    <xf numFmtId="169" fontId="13" fillId="33" borderId="11" xfId="57" applyNumberFormat="1" applyFont="1" applyFill="1" applyBorder="1" applyAlignment="1">
      <alignment/>
    </xf>
    <xf numFmtId="169" fontId="13" fillId="38" borderId="11" xfId="57" applyNumberFormat="1" applyFont="1" applyFill="1" applyBorder="1" applyAlignment="1">
      <alignment/>
    </xf>
    <xf numFmtId="0" fontId="39" fillId="34" borderId="0" xfId="0" applyFont="1" applyFill="1" applyAlignment="1">
      <alignment/>
    </xf>
    <xf numFmtId="0" fontId="40" fillId="34" borderId="0" xfId="0" applyFont="1" applyFill="1" applyAlignment="1">
      <alignment/>
    </xf>
    <xf numFmtId="3" fontId="8" fillId="0" borderId="0" xfId="42" applyNumberFormat="1" applyFont="1" applyBorder="1" applyAlignment="1">
      <alignment/>
    </xf>
    <xf numFmtId="169" fontId="6" fillId="0" borderId="11" xfId="57" applyNumberFormat="1" applyFont="1" applyFill="1" applyBorder="1" applyAlignment="1">
      <alignment/>
    </xf>
    <xf numFmtId="10" fontId="6" fillId="0" borderId="11" xfId="57" applyNumberFormat="1" applyFont="1" applyFill="1" applyBorder="1" applyAlignment="1">
      <alignment/>
    </xf>
    <xf numFmtId="172" fontId="6" fillId="0" borderId="11" xfId="42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9" fontId="6" fillId="0" borderId="11" xfId="57" applyFont="1" applyBorder="1" applyAlignment="1">
      <alignment/>
    </xf>
    <xf numFmtId="0" fontId="5" fillId="0" borderId="0" xfId="0" applyFont="1" applyAlignment="1">
      <alignment vertical="top" wrapText="1"/>
    </xf>
    <xf numFmtId="0" fontId="2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10" fontId="6" fillId="35" borderId="11" xfId="57" applyNumberFormat="1" applyFont="1" applyFill="1" applyBorder="1" applyAlignment="1">
      <alignment/>
    </xf>
    <xf numFmtId="172" fontId="4" fillId="35" borderId="11" xfId="0" applyNumberFormat="1" applyFont="1" applyFill="1" applyBorder="1" applyAlignment="1">
      <alignment/>
    </xf>
    <xf numFmtId="44" fontId="4" fillId="35" borderId="11" xfId="44" applyFont="1" applyFill="1" applyBorder="1" applyAlignment="1">
      <alignment/>
    </xf>
    <xf numFmtId="0" fontId="0" fillId="0" borderId="41" xfId="0" applyBorder="1" applyAlignment="1">
      <alignment/>
    </xf>
    <xf numFmtId="1" fontId="4" fillId="0" borderId="11" xfId="57" applyNumberFormat="1" applyFont="1" applyFill="1" applyBorder="1" applyAlignment="1">
      <alignment/>
    </xf>
    <xf numFmtId="171" fontId="4" fillId="0" borderId="11" xfId="0" applyNumberFormat="1" applyFont="1" applyBorder="1" applyAlignment="1">
      <alignment/>
    </xf>
    <xf numFmtId="175" fontId="5" fillId="0" borderId="11" xfId="44" applyNumberFormat="1" applyFont="1" applyBorder="1" applyAlignment="1">
      <alignment/>
    </xf>
    <xf numFmtId="175" fontId="5" fillId="33" borderId="11" xfId="0" applyNumberFormat="1" applyFont="1" applyFill="1" applyBorder="1" applyAlignment="1">
      <alignment/>
    </xf>
    <xf numFmtId="175" fontId="4" fillId="0" borderId="0" xfId="0" applyNumberFormat="1" applyFont="1" applyAlignment="1">
      <alignment/>
    </xf>
    <xf numFmtId="0" fontId="7" fillId="41" borderId="0" xfId="0" applyFont="1" applyFill="1" applyAlignment="1">
      <alignment/>
    </xf>
    <xf numFmtId="0" fontId="5" fillId="41" borderId="0" xfId="0" applyFont="1" applyFill="1" applyAlignment="1">
      <alignment/>
    </xf>
    <xf numFmtId="0" fontId="4" fillId="41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31" fillId="41" borderId="0" xfId="0" applyFont="1" applyFill="1" applyAlignment="1">
      <alignment vertical="center"/>
    </xf>
    <xf numFmtId="175" fontId="8" fillId="0" borderId="11" xfId="44" applyNumberFormat="1" applyFont="1" applyFill="1" applyBorder="1" applyAlignment="1">
      <alignment/>
    </xf>
    <xf numFmtId="175" fontId="5" fillId="33" borderId="42" xfId="44" applyNumberFormat="1" applyFont="1" applyFill="1" applyBorder="1" applyAlignment="1">
      <alignment/>
    </xf>
    <xf numFmtId="175" fontId="5" fillId="33" borderId="42" xfId="0" applyNumberFormat="1" applyFont="1" applyFill="1" applyBorder="1" applyAlignment="1">
      <alignment/>
    </xf>
    <xf numFmtId="175" fontId="5" fillId="0" borderId="41" xfId="0" applyNumberFormat="1" applyFont="1" applyFill="1" applyBorder="1" applyAlignment="1">
      <alignment/>
    </xf>
    <xf numFmtId="176" fontId="4" fillId="0" borderId="11" xfId="44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5" fontId="5" fillId="33" borderId="16" xfId="44" applyNumberFormat="1" applyFont="1" applyFill="1" applyBorder="1" applyAlignment="1">
      <alignment/>
    </xf>
    <xf numFmtId="175" fontId="15" fillId="33" borderId="42" xfId="44" applyNumberFormat="1" applyFont="1" applyFill="1" applyBorder="1" applyAlignment="1">
      <alignment/>
    </xf>
    <xf numFmtId="175" fontId="34" fillId="40" borderId="11" xfId="44" applyNumberFormat="1" applyFont="1" applyFill="1" applyBorder="1" applyAlignment="1">
      <alignment/>
    </xf>
    <xf numFmtId="175" fontId="13" fillId="38" borderId="20" xfId="0" applyNumberFormat="1" applyFont="1" applyFill="1" applyBorder="1" applyAlignment="1">
      <alignment horizontal="right"/>
    </xf>
    <xf numFmtId="175" fontId="34" fillId="0" borderId="36" xfId="44" applyNumberFormat="1" applyFont="1" applyBorder="1" applyAlignment="1">
      <alignment/>
    </xf>
    <xf numFmtId="175" fontId="34" fillId="0" borderId="43" xfId="44" applyNumberFormat="1" applyFont="1" applyBorder="1" applyAlignment="1">
      <alignment/>
    </xf>
    <xf numFmtId="175" fontId="34" fillId="0" borderId="11" xfId="44" applyNumberFormat="1" applyFont="1" applyBorder="1" applyAlignment="1">
      <alignment/>
    </xf>
    <xf numFmtId="0" fontId="2" fillId="41" borderId="0" xfId="0" applyFont="1" applyFill="1" applyAlignment="1">
      <alignment/>
    </xf>
    <xf numFmtId="1" fontId="2" fillId="41" borderId="0" xfId="0" applyNumberFormat="1" applyFont="1" applyFill="1" applyAlignment="1">
      <alignment/>
    </xf>
    <xf numFmtId="175" fontId="4" fillId="38" borderId="10" xfId="0" applyNumberFormat="1" applyFont="1" applyFill="1" applyBorder="1" applyAlignment="1">
      <alignment/>
    </xf>
    <xf numFmtId="175" fontId="5" fillId="38" borderId="10" xfId="44" applyNumberFormat="1" applyFont="1" applyFill="1" applyBorder="1" applyAlignment="1">
      <alignment/>
    </xf>
    <xf numFmtId="175" fontId="4" fillId="34" borderId="0" xfId="0" applyNumberFormat="1" applyFont="1" applyFill="1" applyBorder="1" applyAlignment="1" applyProtection="1">
      <alignment/>
      <protection locked="0"/>
    </xf>
    <xf numFmtId="175" fontId="5" fillId="38" borderId="0" xfId="44" applyNumberFormat="1" applyFont="1" applyFill="1" applyBorder="1" applyAlignment="1">
      <alignment/>
    </xf>
    <xf numFmtId="175" fontId="4" fillId="38" borderId="0" xfId="0" applyNumberFormat="1" applyFont="1" applyFill="1" applyBorder="1" applyAlignment="1">
      <alignment/>
    </xf>
    <xf numFmtId="175" fontId="5" fillId="0" borderId="0" xfId="44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21" xfId="0" applyFont="1" applyFill="1" applyBorder="1" applyAlignment="1">
      <alignment vertical="top" wrapText="1"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2" xfId="0" applyFont="1" applyBorder="1" applyAlignment="1">
      <alignment wrapText="1"/>
    </xf>
    <xf numFmtId="175" fontId="4" fillId="0" borderId="0" xfId="44" applyNumberFormat="1" applyFont="1" applyFill="1" applyBorder="1" applyAlignment="1">
      <alignment/>
    </xf>
    <xf numFmtId="176" fontId="4" fillId="0" borderId="0" xfId="44" applyNumberFormat="1" applyFont="1" applyFill="1" applyBorder="1" applyAlignment="1">
      <alignment horizontal="center"/>
    </xf>
    <xf numFmtId="176" fontId="4" fillId="0" borderId="0" xfId="44" applyNumberFormat="1" applyFont="1" applyFill="1" applyBorder="1" applyAlignment="1">
      <alignment/>
    </xf>
    <xf numFmtId="175" fontId="4" fillId="0" borderId="0" xfId="44" applyNumberFormat="1" applyFont="1" applyBorder="1" applyAlignment="1">
      <alignment horizontal="center"/>
    </xf>
    <xf numFmtId="175" fontId="4" fillId="0" borderId="0" xfId="44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27" fillId="0" borderId="13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 horizontal="center"/>
    </xf>
    <xf numFmtId="175" fontId="28" fillId="0" borderId="0" xfId="44" applyNumberFormat="1" applyFont="1" applyFill="1" applyBorder="1" applyAlignment="1">
      <alignment/>
    </xf>
    <xf numFmtId="175" fontId="27" fillId="0" borderId="0" xfId="44" applyNumberFormat="1" applyFont="1" applyFill="1" applyBorder="1" applyAlignment="1">
      <alignment/>
    </xf>
    <xf numFmtId="176" fontId="5" fillId="0" borderId="0" xfId="44" applyNumberFormat="1" applyFont="1" applyFill="1" applyBorder="1" applyAlignment="1">
      <alignment/>
    </xf>
    <xf numFmtId="176" fontId="5" fillId="0" borderId="13" xfId="44" applyNumberFormat="1" applyFont="1" applyFill="1" applyBorder="1" applyAlignment="1">
      <alignment/>
    </xf>
    <xf numFmtId="175" fontId="5" fillId="38" borderId="20" xfId="0" applyNumberFormat="1" applyFont="1" applyFill="1" applyBorder="1" applyAlignment="1">
      <alignment/>
    </xf>
    <xf numFmtId="175" fontId="5" fillId="38" borderId="20" xfId="44" applyNumberFormat="1" applyFont="1" applyFill="1" applyBorder="1" applyAlignment="1">
      <alignment/>
    </xf>
    <xf numFmtId="175" fontId="5" fillId="37" borderId="0" xfId="44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5" fillId="0" borderId="0" xfId="44" applyNumberFormat="1" applyFont="1" applyFill="1" applyBorder="1" applyAlignment="1">
      <alignment/>
    </xf>
    <xf numFmtId="175" fontId="4" fillId="0" borderId="0" xfId="0" applyNumberFormat="1" applyFont="1" applyBorder="1" applyAlignment="1">
      <alignment/>
    </xf>
    <xf numFmtId="175" fontId="6" fillId="0" borderId="0" xfId="44" applyNumberFormat="1" applyFont="1" applyFill="1" applyBorder="1" applyAlignment="1">
      <alignment/>
    </xf>
    <xf numFmtId="175" fontId="5" fillId="38" borderId="0" xfId="0" applyNumberFormat="1" applyFont="1" applyFill="1" applyBorder="1" applyAlignment="1">
      <alignment/>
    </xf>
    <xf numFmtId="175" fontId="5" fillId="38" borderId="10" xfId="0" applyNumberFormat="1" applyFont="1" applyFill="1" applyBorder="1" applyAlignment="1">
      <alignment/>
    </xf>
    <xf numFmtId="175" fontId="8" fillId="0" borderId="0" xfId="44" applyNumberFormat="1" applyFont="1" applyFill="1" applyBorder="1" applyAlignment="1">
      <alignment/>
    </xf>
    <xf numFmtId="176" fontId="4" fillId="38" borderId="0" xfId="0" applyNumberFormat="1" applyFont="1" applyFill="1" applyBorder="1" applyAlignment="1">
      <alignment/>
    </xf>
    <xf numFmtId="176" fontId="4" fillId="38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175" fontId="4" fillId="0" borderId="11" xfId="0" applyNumberFormat="1" applyFont="1" applyBorder="1" applyAlignment="1">
      <alignment/>
    </xf>
    <xf numFmtId="175" fontId="4" fillId="0" borderId="11" xfId="44" applyNumberFormat="1" applyFont="1" applyBorder="1" applyAlignment="1">
      <alignment/>
    </xf>
    <xf numFmtId="175" fontId="5" fillId="35" borderId="11" xfId="44" applyNumberFormat="1" applyFont="1" applyFill="1" applyBorder="1" applyAlignment="1">
      <alignment/>
    </xf>
    <xf numFmtId="175" fontId="5" fillId="36" borderId="11" xfId="0" applyNumberFormat="1" applyFont="1" applyFill="1" applyBorder="1" applyAlignment="1">
      <alignment/>
    </xf>
    <xf numFmtId="175" fontId="8" fillId="0" borderId="11" xfId="44" applyNumberFormat="1" applyFont="1" applyBorder="1" applyAlignment="1">
      <alignment/>
    </xf>
    <xf numFmtId="175" fontId="5" fillId="35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6" fillId="0" borderId="11" xfId="44" applyNumberFormat="1" applyFont="1" applyBorder="1" applyAlignment="1">
      <alignment/>
    </xf>
    <xf numFmtId="175" fontId="4" fillId="0" borderId="11" xfId="0" applyNumberFormat="1" applyFont="1" applyFill="1" applyBorder="1" applyAlignment="1">
      <alignment/>
    </xf>
    <xf numFmtId="175" fontId="4" fillId="0" borderId="11" xfId="44" applyNumberFormat="1" applyFont="1" applyFill="1" applyBorder="1" applyAlignment="1">
      <alignment/>
    </xf>
    <xf numFmtId="176" fontId="5" fillId="35" borderId="0" xfId="44" applyNumberFormat="1" applyFont="1" applyFill="1" applyAlignment="1">
      <alignment/>
    </xf>
    <xf numFmtId="175" fontId="6" fillId="0" borderId="11" xfId="44" applyNumberFormat="1" applyFont="1" applyFill="1" applyBorder="1" applyAlignment="1">
      <alignment/>
    </xf>
    <xf numFmtId="0" fontId="41" fillId="34" borderId="0" xfId="0" applyFont="1" applyFill="1" applyAlignment="1">
      <alignment horizontal="left"/>
    </xf>
    <xf numFmtId="0" fontId="19" fillId="0" borderId="11" xfId="0" applyFont="1" applyBorder="1" applyAlignment="1">
      <alignment horizontal="left"/>
    </xf>
    <xf numFmtId="0" fontId="5" fillId="42" borderId="11" xfId="0" applyFont="1" applyFill="1" applyBorder="1" applyAlignment="1">
      <alignment/>
    </xf>
    <xf numFmtId="0" fontId="5" fillId="41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41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2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23" xfId="0" applyFont="1" applyFill="1" applyBorder="1" applyAlignment="1">
      <alignment/>
    </xf>
    <xf numFmtId="0" fontId="26" fillId="40" borderId="12" xfId="0" applyFont="1" applyFill="1" applyBorder="1" applyAlignment="1">
      <alignment vertical="top"/>
    </xf>
    <xf numFmtId="0" fontId="26" fillId="40" borderId="23" xfId="0" applyFont="1" applyFill="1" applyBorder="1" applyAlignment="1">
      <alignment vertical="top"/>
    </xf>
    <xf numFmtId="0" fontId="26" fillId="40" borderId="18" xfId="0" applyFont="1" applyFill="1" applyBorder="1" applyAlignment="1">
      <alignment vertical="top"/>
    </xf>
    <xf numFmtId="0" fontId="25" fillId="0" borderId="44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45" xfId="0" applyFont="1" applyBorder="1" applyAlignment="1">
      <alignment vertical="top"/>
    </xf>
    <xf numFmtId="175" fontId="36" fillId="35" borderId="0" xfId="44" applyNumberFormat="1" applyFont="1" applyFill="1" applyBorder="1" applyAlignment="1">
      <alignment/>
    </xf>
    <xf numFmtId="175" fontId="36" fillId="35" borderId="0" xfId="44" applyNumberFormat="1" applyFont="1" applyFill="1" applyBorder="1" applyAlignment="1">
      <alignment horizontal="right" wrapText="1"/>
    </xf>
    <xf numFmtId="175" fontId="36" fillId="35" borderId="13" xfId="44" applyNumberFormat="1" applyFont="1" applyFill="1" applyBorder="1" applyAlignment="1">
      <alignment/>
    </xf>
    <xf numFmtId="175" fontId="36" fillId="38" borderId="0" xfId="44" applyNumberFormat="1" applyFont="1" applyFill="1" applyBorder="1" applyAlignment="1">
      <alignment/>
    </xf>
    <xf numFmtId="175" fontId="36" fillId="33" borderId="0" xfId="44" applyNumberFormat="1" applyFont="1" applyFill="1" applyBorder="1" applyAlignment="1">
      <alignment/>
    </xf>
    <xf numFmtId="175" fontId="36" fillId="38" borderId="13" xfId="44" applyNumberFormat="1" applyFont="1" applyFill="1" applyBorder="1" applyAlignment="1">
      <alignment/>
    </xf>
    <xf numFmtId="0" fontId="36" fillId="38" borderId="0" xfId="0" applyFont="1" applyFill="1" applyBorder="1" applyAlignment="1">
      <alignment/>
    </xf>
    <xf numFmtId="175" fontId="13" fillId="38" borderId="0" xfId="44" applyNumberFormat="1" applyFont="1" applyFill="1" applyBorder="1" applyAlignment="1">
      <alignment/>
    </xf>
    <xf numFmtId="0" fontId="15" fillId="38" borderId="0" xfId="0" applyFont="1" applyFill="1" applyBorder="1" applyAlignment="1">
      <alignment/>
    </xf>
    <xf numFmtId="43" fontId="15" fillId="38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fill>
        <patternFill>
          <bgColor rgb="FF00FFFF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G Times"/>
                <a:ea typeface="CG Times"/>
                <a:cs typeface="CG Times"/>
              </a:rPr>
              <a:t>Loyer au comptant ou partage variable</a:t>
            </a:r>
          </a:p>
        </c:rich>
      </c:tx>
      <c:layout>
        <c:manualLayout>
          <c:xMode val="factor"/>
          <c:yMode val="factor"/>
          <c:x val="0.022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1875"/>
          <c:w val="0.9445"/>
          <c:h val="0.7495"/>
        </c:manualLayout>
      </c:layout>
      <c:lineChart>
        <c:grouping val="standard"/>
        <c:varyColors val="0"/>
        <c:ser>
          <c:idx val="1"/>
          <c:order val="0"/>
          <c:tx>
            <c:v>Partage Variable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'Location au comptant -%'!$B$11:$B$27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</c:numCache>
            </c:numRef>
          </c:cat>
          <c:val>
            <c:numRef>
              <c:f>'Location au comptant -%'!$I$11:$I$27</c:f>
              <c:numCache>
                <c:ptCount val="17"/>
                <c:pt idx="0">
                  <c:v>-21.120000000000005</c:v>
                </c:pt>
                <c:pt idx="1">
                  <c:v>-7.175999999999988</c:v>
                </c:pt>
                <c:pt idx="2">
                  <c:v>6.767999999999972</c:v>
                </c:pt>
                <c:pt idx="3">
                  <c:v>20.71199999999999</c:v>
                </c:pt>
                <c:pt idx="4">
                  <c:v>26.687999999999988</c:v>
                </c:pt>
                <c:pt idx="5">
                  <c:v>40.30000000000001</c:v>
                </c:pt>
                <c:pt idx="6">
                  <c:v>53.912000000000035</c:v>
                </c:pt>
                <c:pt idx="7">
                  <c:v>67.524</c:v>
                </c:pt>
                <c:pt idx="8">
                  <c:v>71.83999999999997</c:v>
                </c:pt>
                <c:pt idx="9">
                  <c:v>85.12</c:v>
                </c:pt>
                <c:pt idx="10">
                  <c:v>88.44</c:v>
                </c:pt>
                <c:pt idx="11">
                  <c:v>101.38799999999998</c:v>
                </c:pt>
                <c:pt idx="12">
                  <c:v>103.71199999999999</c:v>
                </c:pt>
                <c:pt idx="13">
                  <c:v>116.32799999999997</c:v>
                </c:pt>
                <c:pt idx="14">
                  <c:v>117.65599999999995</c:v>
                </c:pt>
                <c:pt idx="15">
                  <c:v>124.13</c:v>
                </c:pt>
                <c:pt idx="16">
                  <c:v>130.27199999999993</c:v>
                </c:pt>
              </c:numCache>
            </c:numRef>
          </c:val>
          <c:smooth val="0"/>
        </c:ser>
        <c:ser>
          <c:idx val="2"/>
          <c:order val="1"/>
          <c:tx>
            <c:v>Loyer au comptant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'Location au comptant -%'!$B$11:$B$27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</c:numCache>
            </c:numRef>
          </c:cat>
          <c:val>
            <c:numRef>
              <c:f>'Location au comptant -%'!$J$11:$J$27</c:f>
              <c:numCache>
                <c:ptCount val="17"/>
                <c:pt idx="0">
                  <c:v>-88</c:v>
                </c:pt>
                <c:pt idx="1">
                  <c:v>-71.40000000000003</c:v>
                </c:pt>
                <c:pt idx="2">
                  <c:v>-54.80000000000001</c:v>
                </c:pt>
                <c:pt idx="3">
                  <c:v>-38.200000000000045</c:v>
                </c:pt>
                <c:pt idx="4">
                  <c:v>-21.600000000000023</c:v>
                </c:pt>
                <c:pt idx="5">
                  <c:v>-5</c:v>
                </c:pt>
                <c:pt idx="6">
                  <c:v>11.599999999999966</c:v>
                </c:pt>
                <c:pt idx="7">
                  <c:v>28.19999999999999</c:v>
                </c:pt>
                <c:pt idx="8">
                  <c:v>44.799999999999955</c:v>
                </c:pt>
                <c:pt idx="9">
                  <c:v>61.39999999999998</c:v>
                </c:pt>
                <c:pt idx="10">
                  <c:v>78</c:v>
                </c:pt>
                <c:pt idx="11">
                  <c:v>94.60000000000002</c:v>
                </c:pt>
                <c:pt idx="12">
                  <c:v>111.19999999999993</c:v>
                </c:pt>
                <c:pt idx="13">
                  <c:v>127.79999999999995</c:v>
                </c:pt>
                <c:pt idx="14">
                  <c:v>144.39999999999998</c:v>
                </c:pt>
                <c:pt idx="15">
                  <c:v>161</c:v>
                </c:pt>
                <c:pt idx="16">
                  <c:v>177.60000000000002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7074852"/>
        <c:axId val="66122517"/>
      </c:lineChart>
      <c:catAx>
        <c:axId val="67074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rPr>
                  <a:t>Maïs - rendement par boisseau/acre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2517"/>
        <c:crossesAt val="-120"/>
        <c:auto val="1"/>
        <c:lblOffset val="100"/>
        <c:tickLblSkip val="1"/>
        <c:noMultiLvlLbl val="0"/>
      </c:catAx>
      <c:valAx>
        <c:axId val="66122517"/>
        <c:scaling>
          <c:orientation val="minMax"/>
          <c:max val="20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rPr>
                  <a:t>Marge brute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$-C0C]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852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5"/>
          <c:y val="0.95"/>
          <c:w val="0.321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G Times"/>
          <a:ea typeface="CG Times"/>
          <a:cs typeface="CG Times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66675</xdr:rowOff>
    </xdr:from>
    <xdr:to>
      <xdr:col>2</xdr:col>
      <xdr:colOff>28575</xdr:colOff>
      <xdr:row>10</xdr:row>
      <xdr:rowOff>142875</xdr:rowOff>
    </xdr:to>
    <xdr:pic>
      <xdr:nvPicPr>
        <xdr:cNvPr id="1" name="Picture 11" descr="MAAR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628775"/>
          <a:ext cx="2933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3</xdr:row>
      <xdr:rowOff>95250</xdr:rowOff>
    </xdr:from>
    <xdr:to>
      <xdr:col>1</xdr:col>
      <xdr:colOff>2190750</xdr:colOff>
      <xdr:row>5</xdr:row>
      <xdr:rowOff>76200</xdr:rowOff>
    </xdr:to>
    <xdr:pic>
      <xdr:nvPicPr>
        <xdr:cNvPr id="2" name="Picture 1" descr="Ont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685800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4">
      <selection activeCell="B1" sqref="B1:B65536"/>
    </sheetView>
  </sheetViews>
  <sheetFormatPr defaultColWidth="9.00390625" defaultRowHeight="15"/>
  <cols>
    <col min="1" max="1" width="45.625" style="0" customWidth="1"/>
    <col min="2" max="2" width="39.625" style="0" customWidth="1"/>
  </cols>
  <sheetData>
    <row r="1" spans="1:7" ht="23.25">
      <c r="A1" s="503" t="s">
        <v>273</v>
      </c>
      <c r="B1" s="55"/>
      <c r="C1" s="30"/>
      <c r="D1" s="30"/>
      <c r="E1" s="30"/>
      <c r="F1" s="30"/>
      <c r="G1" s="30"/>
    </row>
    <row r="2" ht="7.5" customHeight="1" thickBot="1"/>
    <row r="3" ht="15.75">
      <c r="A3" s="56"/>
    </row>
    <row r="4" ht="15">
      <c r="A4" s="57"/>
    </row>
    <row r="5" ht="15">
      <c r="A5" s="57"/>
    </row>
    <row r="6" ht="15">
      <c r="A6" s="57"/>
    </row>
    <row r="7" ht="15.75">
      <c r="A7" s="57"/>
    </row>
    <row r="8" ht="15.75">
      <c r="A8" s="57"/>
    </row>
    <row r="9" ht="15">
      <c r="A9" s="57"/>
    </row>
    <row r="10" ht="15">
      <c r="A10" s="57"/>
    </row>
    <row r="11" ht="15">
      <c r="A11" s="57"/>
    </row>
    <row r="12" ht="16.5" thickBot="1">
      <c r="A12" s="58"/>
    </row>
    <row r="13" ht="7.5" customHeight="1">
      <c r="A13" s="329"/>
    </row>
    <row r="14" spans="1:4" s="509" customFormat="1" ht="15.75">
      <c r="A14" s="507" t="s">
        <v>282</v>
      </c>
      <c r="B14" s="508"/>
      <c r="C14" s="508"/>
      <c r="D14" s="508"/>
    </row>
    <row r="15" spans="1:4" s="509" customFormat="1" ht="15.75">
      <c r="A15" s="510" t="s">
        <v>283</v>
      </c>
      <c r="B15" s="508"/>
      <c r="C15" s="508"/>
      <c r="D15" s="508"/>
    </row>
    <row r="16" spans="1:4" s="509" customFormat="1" ht="15.75">
      <c r="A16" s="511" t="s">
        <v>274</v>
      </c>
      <c r="B16" s="512"/>
      <c r="C16" s="508"/>
      <c r="D16" s="508"/>
    </row>
    <row r="17" ht="9" customHeight="1"/>
    <row r="18" spans="1:4" ht="12.75" customHeight="1">
      <c r="A18" s="410" t="s">
        <v>263</v>
      </c>
      <c r="B18" s="514"/>
      <c r="C18" s="514"/>
      <c r="D18" s="514"/>
    </row>
    <row r="19" spans="1:4" ht="12.75" customHeight="1">
      <c r="A19" s="411" t="s">
        <v>264</v>
      </c>
      <c r="B19" s="514"/>
      <c r="C19" s="514"/>
      <c r="D19" s="514"/>
    </row>
    <row r="20" spans="1:4" ht="12.75" customHeight="1">
      <c r="A20" s="411" t="s">
        <v>265</v>
      </c>
      <c r="B20" s="514"/>
      <c r="C20" s="514"/>
      <c r="D20" s="514"/>
    </row>
    <row r="21" spans="1:4" ht="12.75" customHeight="1">
      <c r="A21" s="411" t="s">
        <v>266</v>
      </c>
      <c r="B21" s="514"/>
      <c r="C21" s="514"/>
      <c r="D21" s="514"/>
    </row>
    <row r="22" ht="15.75">
      <c r="A22" s="331" t="s">
        <v>275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="80" zoomScaleNormal="80" zoomScalePageLayoutView="0" workbookViewId="0" topLeftCell="A2">
      <selection activeCell="B30" sqref="B30"/>
    </sheetView>
  </sheetViews>
  <sheetFormatPr defaultColWidth="8.75390625" defaultRowHeight="15"/>
  <cols>
    <col min="1" max="1" width="1.875" style="6" customWidth="1"/>
    <col min="2" max="2" width="36.625" style="6" customWidth="1"/>
    <col min="3" max="3" width="12.75390625" style="6" customWidth="1"/>
    <col min="4" max="4" width="3.375" style="6" customWidth="1"/>
    <col min="5" max="5" width="12.625" style="6" customWidth="1"/>
    <col min="6" max="6" width="11.75390625" style="6" customWidth="1"/>
    <col min="7" max="16384" width="8.75390625" style="6" customWidth="1"/>
  </cols>
  <sheetData>
    <row r="2" spans="2:6" ht="23.25">
      <c r="B2" s="328" t="s">
        <v>269</v>
      </c>
      <c r="C2" s="207"/>
      <c r="D2" s="207"/>
      <c r="E2" s="208"/>
      <c r="F2" s="209"/>
    </row>
    <row r="3" spans="2:6" ht="12.75">
      <c r="B3" s="9" t="s">
        <v>41</v>
      </c>
      <c r="C3" s="332">
        <v>100</v>
      </c>
      <c r="D3" s="9"/>
      <c r="E3" s="9"/>
      <c r="F3" s="9"/>
    </row>
    <row r="4" spans="1:7" ht="25.5">
      <c r="A4" s="7"/>
      <c r="B4" s="8"/>
      <c r="C4" s="9" t="s">
        <v>42</v>
      </c>
      <c r="D4" s="9"/>
      <c r="E4" s="9" t="s">
        <v>55</v>
      </c>
      <c r="F4" s="9" t="s">
        <v>43</v>
      </c>
      <c r="G4" s="7"/>
    </row>
    <row r="5" spans="1:7" ht="12.75">
      <c r="A5" s="7"/>
      <c r="G5" s="7"/>
    </row>
    <row r="6" spans="2:6" ht="12.75">
      <c r="B6" s="10" t="s">
        <v>44</v>
      </c>
      <c r="C6" s="11">
        <v>1800</v>
      </c>
      <c r="D6" s="12"/>
      <c r="E6" s="12"/>
      <c r="F6" s="12"/>
    </row>
    <row r="7" spans="2:6" ht="12.75">
      <c r="B7" s="10" t="s">
        <v>47</v>
      </c>
      <c r="C7" s="13"/>
      <c r="D7" s="14" t="s">
        <v>0</v>
      </c>
      <c r="E7" s="15">
        <v>0.04</v>
      </c>
      <c r="F7" s="427">
        <f>C6*E7</f>
        <v>72</v>
      </c>
    </row>
    <row r="8" spans="2:6" ht="12.75">
      <c r="B8" s="10" t="s">
        <v>277</v>
      </c>
      <c r="C8" s="13"/>
      <c r="D8" s="14" t="s">
        <v>0</v>
      </c>
      <c r="E8" s="15">
        <v>0.005</v>
      </c>
      <c r="F8" s="427">
        <f>E8*C6</f>
        <v>9</v>
      </c>
    </row>
    <row r="9" spans="2:6" ht="12.75">
      <c r="B9" s="10" t="s">
        <v>45</v>
      </c>
      <c r="C9" s="17">
        <v>10</v>
      </c>
      <c r="D9" s="14" t="s">
        <v>0</v>
      </c>
      <c r="E9" s="15">
        <v>0.06</v>
      </c>
      <c r="F9" s="427">
        <f>E9*C9</f>
        <v>0.6</v>
      </c>
    </row>
    <row r="10" spans="2:6" ht="12.75">
      <c r="B10" s="27" t="s">
        <v>56</v>
      </c>
      <c r="C10" s="17">
        <v>0</v>
      </c>
      <c r="D10" s="14"/>
      <c r="E10" s="13"/>
      <c r="F10" s="16"/>
    </row>
    <row r="11" spans="2:6" ht="12.75">
      <c r="B11" s="18" t="s">
        <v>48</v>
      </c>
      <c r="C11" s="13"/>
      <c r="D11" s="14" t="s">
        <v>1</v>
      </c>
      <c r="E11" s="13">
        <v>10</v>
      </c>
      <c r="F11" s="427">
        <f>C10/E11</f>
        <v>0</v>
      </c>
    </row>
    <row r="12" spans="2:6" ht="12.75">
      <c r="B12" s="18" t="s">
        <v>47</v>
      </c>
      <c r="C12" s="13"/>
      <c r="D12" s="14" t="s">
        <v>0</v>
      </c>
      <c r="E12" s="15">
        <v>0.05</v>
      </c>
      <c r="F12" s="427">
        <f>E12*$C$10</f>
        <v>0</v>
      </c>
    </row>
    <row r="13" spans="2:6" ht="12.75">
      <c r="B13" s="18" t="s">
        <v>49</v>
      </c>
      <c r="C13" s="13"/>
      <c r="D13" s="14" t="s">
        <v>0</v>
      </c>
      <c r="E13" s="15">
        <v>0.01</v>
      </c>
      <c r="F13" s="427">
        <f>E13*$C$10</f>
        <v>0</v>
      </c>
    </row>
    <row r="14" spans="2:6" ht="12.75">
      <c r="B14" s="18" t="s">
        <v>50</v>
      </c>
      <c r="C14" s="13"/>
      <c r="D14" s="14" t="s">
        <v>0</v>
      </c>
      <c r="E14" s="19">
        <v>0.0025</v>
      </c>
      <c r="F14" s="427">
        <f>E14*$C$10</f>
        <v>0</v>
      </c>
    </row>
    <row r="15" spans="2:6" ht="12.75">
      <c r="B15" s="10" t="s">
        <v>51</v>
      </c>
      <c r="C15" s="17">
        <v>0</v>
      </c>
      <c r="D15" s="14"/>
      <c r="E15" s="13"/>
      <c r="F15" s="16"/>
    </row>
    <row r="16" spans="2:6" ht="12.75">
      <c r="B16" s="18" t="s">
        <v>52</v>
      </c>
      <c r="C16" s="12"/>
      <c r="D16" s="14" t="s">
        <v>1</v>
      </c>
      <c r="E16" s="13">
        <v>20</v>
      </c>
      <c r="F16" s="427">
        <f>C15/E16</f>
        <v>0</v>
      </c>
    </row>
    <row r="17" spans="2:6" ht="12.75">
      <c r="B17" s="18" t="s">
        <v>47</v>
      </c>
      <c r="C17" s="12"/>
      <c r="D17" s="14" t="s">
        <v>0</v>
      </c>
      <c r="E17" s="15">
        <v>0.05</v>
      </c>
      <c r="F17" s="427">
        <f>E17*$C$15</f>
        <v>0</v>
      </c>
    </row>
    <row r="18" spans="2:6" ht="12.75">
      <c r="B18" s="18" t="s">
        <v>49</v>
      </c>
      <c r="C18" s="12"/>
      <c r="D18" s="14" t="s">
        <v>0</v>
      </c>
      <c r="E18" s="15">
        <v>0.01</v>
      </c>
      <c r="F18" s="427">
        <f>E18*$C$15</f>
        <v>0</v>
      </c>
    </row>
    <row r="19" spans="2:6" ht="12.75">
      <c r="B19" s="18" t="s">
        <v>50</v>
      </c>
      <c r="C19" s="12"/>
      <c r="D19" s="14" t="s">
        <v>0</v>
      </c>
      <c r="E19" s="15">
        <v>0.001</v>
      </c>
      <c r="F19" s="427">
        <f>E19*$C$15</f>
        <v>0</v>
      </c>
    </row>
    <row r="20" spans="2:6" ht="12.75">
      <c r="B20" s="505" t="s">
        <v>284</v>
      </c>
      <c r="C20" s="17">
        <v>0</v>
      </c>
      <c r="D20" s="14" t="s">
        <v>1</v>
      </c>
      <c r="E20" s="12"/>
      <c r="F20" s="12"/>
    </row>
    <row r="21" spans="2:6" ht="12.75">
      <c r="B21" s="504" t="s">
        <v>272</v>
      </c>
      <c r="C21" s="70"/>
      <c r="D21" s="14"/>
      <c r="E21" s="13">
        <v>25</v>
      </c>
      <c r="F21" s="427">
        <f>C20/E21</f>
        <v>0</v>
      </c>
    </row>
    <row r="22" spans="2:6" ht="12.75">
      <c r="B22" s="18" t="s">
        <v>53</v>
      </c>
      <c r="C22" s="12"/>
      <c r="D22" s="14" t="s">
        <v>0</v>
      </c>
      <c r="E22" s="15">
        <v>0.05</v>
      </c>
      <c r="F22" s="427">
        <f>E22*C20</f>
        <v>0</v>
      </c>
    </row>
    <row r="23" spans="2:6" ht="12.75">
      <c r="B23" s="18" t="s">
        <v>54</v>
      </c>
      <c r="C23" s="12"/>
      <c r="D23" s="14" t="s">
        <v>0</v>
      </c>
      <c r="E23" s="15">
        <v>0.01</v>
      </c>
      <c r="F23" s="427">
        <f>E23*C20</f>
        <v>0</v>
      </c>
    </row>
    <row r="24" spans="2:6" ht="12.75">
      <c r="B24" s="120" t="s">
        <v>57</v>
      </c>
      <c r="C24" s="20"/>
      <c r="D24" s="21"/>
      <c r="E24" s="20"/>
      <c r="F24" s="428">
        <f>SUM(F7:F23)</f>
        <v>81.6</v>
      </c>
    </row>
    <row r="25" spans="2:6" ht="12.75">
      <c r="B25" s="433" t="s">
        <v>58</v>
      </c>
      <c r="C25" s="333"/>
      <c r="D25" s="333"/>
      <c r="E25" s="333"/>
      <c r="F25" s="428">
        <f>F24*C3</f>
        <v>8159.999999999999</v>
      </c>
    </row>
    <row r="26" spans="2:6" ht="12.75">
      <c r="B26" s="430" t="s">
        <v>285</v>
      </c>
      <c r="C26" s="432"/>
      <c r="F26" s="429"/>
    </row>
    <row r="27" spans="2:8" ht="12.75">
      <c r="B27" s="506" t="s">
        <v>287</v>
      </c>
      <c r="C27" s="432"/>
      <c r="D27" s="432"/>
      <c r="E27" s="432"/>
      <c r="F27" s="432"/>
      <c r="G27" s="432"/>
      <c r="H27" s="432"/>
    </row>
    <row r="28" spans="2:8" ht="12.75">
      <c r="B28" s="431" t="s">
        <v>288</v>
      </c>
      <c r="C28" s="432"/>
      <c r="D28" s="432"/>
      <c r="E28" s="432"/>
      <c r="F28" s="432"/>
      <c r="G28" s="432"/>
      <c r="H28" s="432"/>
    </row>
    <row r="29" spans="2:8" ht="12.75">
      <c r="B29" s="431" t="s">
        <v>286</v>
      </c>
      <c r="C29" s="432"/>
      <c r="D29" s="432"/>
      <c r="E29" s="432"/>
      <c r="F29" s="432"/>
      <c r="G29" s="432"/>
      <c r="H29" s="432"/>
    </row>
  </sheetData>
  <sheetProtection/>
  <printOptions/>
  <pageMargins left="0.39" right="0.22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4"/>
  <sheetViews>
    <sheetView zoomScale="80" zoomScaleNormal="80" zoomScalePageLayoutView="0" workbookViewId="0" topLeftCell="A1">
      <selection activeCell="B45" sqref="B45:F45"/>
    </sheetView>
  </sheetViews>
  <sheetFormatPr defaultColWidth="8.75390625" defaultRowHeight="15"/>
  <cols>
    <col min="1" max="1" width="7.875" style="60" customWidth="1"/>
    <col min="2" max="2" width="53.75390625" style="60" customWidth="1"/>
    <col min="3" max="5" width="9.875" style="60" customWidth="1"/>
    <col min="6" max="6" width="7.00390625" style="60" customWidth="1"/>
    <col min="7" max="16384" width="8.75390625" style="60" customWidth="1"/>
  </cols>
  <sheetData>
    <row r="2" spans="2:6" ht="26.25" customHeight="1">
      <c r="B2" s="434" t="s">
        <v>268</v>
      </c>
      <c r="C2" s="212"/>
      <c r="D2" s="212"/>
      <c r="E2" s="212"/>
      <c r="F2" s="212"/>
    </row>
    <row r="3" spans="2:6" ht="18" customHeight="1">
      <c r="B3" s="210" t="s">
        <v>59</v>
      </c>
      <c r="C3" s="185" t="s">
        <v>60</v>
      </c>
      <c r="D3" s="185" t="s">
        <v>61</v>
      </c>
      <c r="E3" s="185" t="s">
        <v>62</v>
      </c>
      <c r="F3" s="185" t="s">
        <v>63</v>
      </c>
    </row>
    <row r="4" spans="2:6" ht="12.75">
      <c r="B4" s="27"/>
      <c r="C4" s="14" t="s">
        <v>70</v>
      </c>
      <c r="D4" s="14" t="s">
        <v>71</v>
      </c>
      <c r="E4" s="14" t="s">
        <v>72</v>
      </c>
      <c r="F4" s="10"/>
    </row>
    <row r="5" spans="2:6" ht="12.75">
      <c r="B5" s="12" t="s">
        <v>41</v>
      </c>
      <c r="C5" s="62">
        <v>120</v>
      </c>
      <c r="D5" s="62">
        <v>60</v>
      </c>
      <c r="E5" s="62">
        <v>45</v>
      </c>
      <c r="F5" s="63" t="s">
        <v>2</v>
      </c>
    </row>
    <row r="6" spans="2:6" ht="12.75">
      <c r="B6" s="28" t="s">
        <v>64</v>
      </c>
      <c r="C6" s="52">
        <v>145</v>
      </c>
      <c r="D6" s="52">
        <v>45</v>
      </c>
      <c r="E6" s="52">
        <v>45</v>
      </c>
      <c r="F6" s="64" t="s">
        <v>3</v>
      </c>
    </row>
    <row r="7" spans="2:6" ht="12.75">
      <c r="B7" s="28" t="s">
        <v>164</v>
      </c>
      <c r="C7" s="435">
        <v>3.2</v>
      </c>
      <c r="D7" s="435">
        <v>6.5</v>
      </c>
      <c r="E7" s="435">
        <v>3.75</v>
      </c>
      <c r="F7" s="65" t="s">
        <v>4</v>
      </c>
    </row>
    <row r="8" spans="2:6" ht="12.75">
      <c r="B8" s="28" t="s">
        <v>65</v>
      </c>
      <c r="C8" s="96">
        <f>C6*C7</f>
        <v>464</v>
      </c>
      <c r="D8" s="96">
        <f>D6*D7</f>
        <v>292.5</v>
      </c>
      <c r="E8" s="96">
        <f>E6*E7</f>
        <v>168.75</v>
      </c>
      <c r="F8" s="65" t="s">
        <v>5</v>
      </c>
    </row>
    <row r="9" spans="2:6" ht="12.75">
      <c r="B9" s="28" t="s">
        <v>66</v>
      </c>
      <c r="C9" s="96">
        <v>0</v>
      </c>
      <c r="D9" s="96">
        <v>0</v>
      </c>
      <c r="E9" s="96">
        <v>0</v>
      </c>
      <c r="F9" s="65" t="s">
        <v>6</v>
      </c>
    </row>
    <row r="10" spans="2:6" ht="12.75">
      <c r="B10" s="27" t="s">
        <v>278</v>
      </c>
      <c r="C10" s="96">
        <f>C9+C8</f>
        <v>464</v>
      </c>
      <c r="D10" s="96">
        <f>D9+D8</f>
        <v>292.5</v>
      </c>
      <c r="E10" s="96">
        <f>E9+E8</f>
        <v>168.75</v>
      </c>
      <c r="F10" s="65" t="s">
        <v>7</v>
      </c>
    </row>
    <row r="11" spans="2:6" ht="12.75">
      <c r="B11" s="73" t="s">
        <v>279</v>
      </c>
      <c r="C11" s="191">
        <f>C5*C10</f>
        <v>55680</v>
      </c>
      <c r="D11" s="191">
        <f>D5*D10</f>
        <v>17550</v>
      </c>
      <c r="E11" s="191">
        <f>E5*E10</f>
        <v>7593.75</v>
      </c>
      <c r="F11" s="192" t="s">
        <v>12</v>
      </c>
    </row>
    <row r="12" spans="2:6" ht="13.5" thickBot="1">
      <c r="B12" s="27" t="s">
        <v>67</v>
      </c>
      <c r="C12" s="193">
        <f>C5+D5+E5</f>
        <v>225</v>
      </c>
      <c r="D12" s="74"/>
      <c r="E12" s="66"/>
      <c r="F12" s="65" t="s">
        <v>13</v>
      </c>
    </row>
    <row r="13" spans="2:6" ht="27" thickBot="1">
      <c r="B13" s="87" t="s">
        <v>68</v>
      </c>
      <c r="C13" s="436">
        <f>(C11+D11+E11)/C12</f>
        <v>359.21666666666664</v>
      </c>
      <c r="D13" s="74"/>
      <c r="E13" s="66"/>
      <c r="F13" s="81" t="s">
        <v>14</v>
      </c>
    </row>
    <row r="14" spans="2:6" ht="15.75">
      <c r="B14" s="210" t="s">
        <v>69</v>
      </c>
      <c r="C14" s="186"/>
      <c r="D14" s="186"/>
      <c r="E14" s="186"/>
      <c r="F14" s="186"/>
    </row>
    <row r="15" spans="2:6" ht="12.75">
      <c r="B15" s="67"/>
      <c r="C15" s="14" t="s">
        <v>70</v>
      </c>
      <c r="D15" s="14" t="s">
        <v>71</v>
      </c>
      <c r="E15" s="14" t="s">
        <v>72</v>
      </c>
      <c r="F15" s="10"/>
    </row>
    <row r="16" spans="2:6" ht="12.75">
      <c r="B16" s="12" t="s">
        <v>73</v>
      </c>
      <c r="C16" s="68">
        <v>49</v>
      </c>
      <c r="D16" s="68">
        <v>37</v>
      </c>
      <c r="E16" s="68">
        <v>28</v>
      </c>
      <c r="F16" s="69"/>
    </row>
    <row r="17" spans="2:6" ht="12.75">
      <c r="B17" s="12" t="s">
        <v>74</v>
      </c>
      <c r="C17" s="68">
        <f>11.2+8.3+58.65</f>
        <v>78.15</v>
      </c>
      <c r="D17" s="68">
        <v>13.2</v>
      </c>
      <c r="E17" s="68">
        <f>14+33</f>
        <v>47</v>
      </c>
      <c r="F17" s="69"/>
    </row>
    <row r="18" spans="2:6" ht="12.75">
      <c r="B18" s="12" t="s">
        <v>75</v>
      </c>
      <c r="C18" s="68">
        <v>28</v>
      </c>
      <c r="D18" s="68">
        <f>18+24</f>
        <v>42</v>
      </c>
      <c r="E18" s="68">
        <v>5</v>
      </c>
      <c r="F18" s="69"/>
    </row>
    <row r="19" spans="2:6" ht="12.75">
      <c r="B19" s="12" t="s">
        <v>76</v>
      </c>
      <c r="C19" s="68">
        <v>15</v>
      </c>
      <c r="D19" s="68"/>
      <c r="E19" s="68"/>
      <c r="F19" s="69"/>
    </row>
    <row r="20" spans="2:6" ht="12.75">
      <c r="B20" s="12" t="s">
        <v>77</v>
      </c>
      <c r="C20" s="68">
        <v>21</v>
      </c>
      <c r="D20" s="68">
        <v>16.2</v>
      </c>
      <c r="E20" s="68">
        <v>12.6</v>
      </c>
      <c r="F20" s="69"/>
    </row>
    <row r="21" spans="2:6" ht="12.75">
      <c r="B21" s="12" t="s">
        <v>78</v>
      </c>
      <c r="C21" s="68">
        <v>19</v>
      </c>
      <c r="D21" s="68">
        <v>16</v>
      </c>
      <c r="E21" s="68">
        <v>18</v>
      </c>
      <c r="F21" s="69"/>
    </row>
    <row r="22" spans="2:6" ht="12.75">
      <c r="B22" s="12" t="s">
        <v>79</v>
      </c>
      <c r="C22" s="68">
        <v>6.45</v>
      </c>
      <c r="D22" s="68">
        <v>8.5</v>
      </c>
      <c r="E22" s="68">
        <v>6.55</v>
      </c>
      <c r="F22" s="69"/>
    </row>
    <row r="23" spans="2:6" ht="12.75">
      <c r="B23" s="12" t="s">
        <v>80</v>
      </c>
      <c r="C23" s="68"/>
      <c r="D23" s="68"/>
      <c r="E23" s="68"/>
      <c r="F23" s="69"/>
    </row>
    <row r="24" spans="2:6" ht="12.75">
      <c r="B24" s="12" t="s">
        <v>81</v>
      </c>
      <c r="C24" s="68"/>
      <c r="D24" s="68"/>
      <c r="E24" s="68"/>
      <c r="F24" s="69"/>
    </row>
    <row r="25" spans="2:6" ht="12.75">
      <c r="B25" s="12" t="s">
        <v>82</v>
      </c>
      <c r="C25" s="68">
        <v>8</v>
      </c>
      <c r="D25" s="68"/>
      <c r="E25" s="68">
        <v>7</v>
      </c>
      <c r="F25" s="69"/>
    </row>
    <row r="26" spans="2:6" ht="12.75">
      <c r="B26" s="12" t="s">
        <v>83</v>
      </c>
      <c r="C26" s="68"/>
      <c r="D26" s="68"/>
      <c r="E26" s="68"/>
      <c r="F26" s="69"/>
    </row>
    <row r="27" spans="2:6" ht="12.75">
      <c r="B27" s="12" t="s">
        <v>84</v>
      </c>
      <c r="C27" s="68"/>
      <c r="D27" s="68"/>
      <c r="E27" s="68"/>
      <c r="F27" s="69"/>
    </row>
    <row r="28" spans="2:6" ht="12.75">
      <c r="B28" s="12" t="s">
        <v>85</v>
      </c>
      <c r="C28" s="68">
        <v>16</v>
      </c>
      <c r="D28" s="68"/>
      <c r="E28" s="68"/>
      <c r="F28" s="69"/>
    </row>
    <row r="29" spans="2:6" ht="12.75">
      <c r="B29" s="12" t="s">
        <v>46</v>
      </c>
      <c r="C29" s="68">
        <v>8</v>
      </c>
      <c r="D29" s="68">
        <v>5.35</v>
      </c>
      <c r="E29" s="68">
        <v>4.1</v>
      </c>
      <c r="F29" s="69"/>
    </row>
    <row r="30" spans="2:6" ht="12.75">
      <c r="B30" s="12" t="s">
        <v>86</v>
      </c>
      <c r="C30" s="68">
        <v>15</v>
      </c>
      <c r="D30" s="68"/>
      <c r="E30" s="68"/>
      <c r="F30" s="69"/>
    </row>
    <row r="31" spans="2:6" ht="12.75">
      <c r="B31" s="12" t="s">
        <v>87</v>
      </c>
      <c r="C31" s="194">
        <f>SUM(C16:C30)</f>
        <v>263.6</v>
      </c>
      <c r="D31" s="194">
        <f>SUM(D16:D30)</f>
        <v>138.25</v>
      </c>
      <c r="E31" s="194">
        <f>SUM(E16:E30)</f>
        <v>128.25</v>
      </c>
      <c r="F31" s="195" t="s">
        <v>15</v>
      </c>
    </row>
    <row r="32" spans="2:6" ht="12.75">
      <c r="B32" s="28" t="s">
        <v>94</v>
      </c>
      <c r="C32" s="77">
        <f>C10-C31</f>
        <v>200.39999999999998</v>
      </c>
      <c r="D32" s="77">
        <f>D10-D31</f>
        <v>154.25</v>
      </c>
      <c r="E32" s="77">
        <f>E10-E31</f>
        <v>40.5</v>
      </c>
      <c r="F32" s="78" t="s">
        <v>16</v>
      </c>
    </row>
    <row r="33" spans="2:6" ht="13.5" thickBot="1">
      <c r="B33" s="83" t="s">
        <v>95</v>
      </c>
      <c r="C33" s="196">
        <f>C5*C31</f>
        <v>31632.000000000004</v>
      </c>
      <c r="D33" s="198">
        <f>D5*D31</f>
        <v>8295</v>
      </c>
      <c r="E33" s="196">
        <f>E5*E31</f>
        <v>5771.25</v>
      </c>
      <c r="F33" s="197" t="s">
        <v>17</v>
      </c>
    </row>
    <row r="34" spans="2:6" ht="26.25" thickBot="1">
      <c r="B34" s="87" t="s">
        <v>289</v>
      </c>
      <c r="C34" s="437">
        <f>(C33+D33+E33)/C12</f>
        <v>203.10333333333332</v>
      </c>
      <c r="D34" s="84"/>
      <c r="E34" s="76"/>
      <c r="F34" s="80" t="s">
        <v>18</v>
      </c>
    </row>
    <row r="35" spans="2:6" ht="12.75">
      <c r="B35" s="28" t="s">
        <v>96</v>
      </c>
      <c r="C35" s="438">
        <f>C13-C34</f>
        <v>156.11333333333332</v>
      </c>
      <c r="D35" s="76"/>
      <c r="E35" s="76"/>
      <c r="F35" s="79" t="s">
        <v>19</v>
      </c>
    </row>
    <row r="36" spans="2:6" ht="15.75">
      <c r="B36" s="517" t="s">
        <v>88</v>
      </c>
      <c r="C36" s="518"/>
      <c r="D36" s="518"/>
      <c r="E36" s="518"/>
      <c r="F36" s="518"/>
    </row>
    <row r="37" spans="2:6" ht="12.75">
      <c r="B37" s="51" t="s">
        <v>89</v>
      </c>
      <c r="C37" s="439">
        <v>120000</v>
      </c>
      <c r="D37" s="28"/>
      <c r="F37" s="14" t="s">
        <v>20</v>
      </c>
    </row>
    <row r="38" spans="2:6" ht="12.75">
      <c r="B38" s="51" t="s">
        <v>97</v>
      </c>
      <c r="C38" s="91">
        <f>C37/C12</f>
        <v>533.3333333333334</v>
      </c>
      <c r="D38" s="28"/>
      <c r="E38" s="28"/>
      <c r="F38" s="14" t="s">
        <v>21</v>
      </c>
    </row>
    <row r="39" spans="2:6" ht="12.75">
      <c r="B39" s="28" t="s">
        <v>90</v>
      </c>
      <c r="C39" s="92">
        <v>0.07</v>
      </c>
      <c r="D39" s="28"/>
      <c r="E39" s="28"/>
      <c r="F39" s="14" t="s">
        <v>22</v>
      </c>
    </row>
    <row r="40" spans="2:6" ht="12.75">
      <c r="B40" s="28" t="s">
        <v>98</v>
      </c>
      <c r="C40" s="199">
        <f>(C38/2)*C39</f>
        <v>18.66666666666667</v>
      </c>
      <c r="D40" s="28"/>
      <c r="E40" s="28"/>
      <c r="F40" s="14" t="s">
        <v>23</v>
      </c>
    </row>
    <row r="41" spans="2:9" ht="15.75">
      <c r="B41" s="28" t="s">
        <v>91</v>
      </c>
      <c r="C41" s="200">
        <f>C38*0.1</f>
        <v>53.33333333333334</v>
      </c>
      <c r="D41" s="28"/>
      <c r="E41" s="28"/>
      <c r="F41" s="14" t="s">
        <v>24</v>
      </c>
      <c r="I41" s="187"/>
    </row>
    <row r="42" spans="2:6" ht="12.75">
      <c r="B42" s="28" t="s">
        <v>92</v>
      </c>
      <c r="C42" s="200">
        <f>C38*0.0025</f>
        <v>1.3333333333333335</v>
      </c>
      <c r="D42" s="28"/>
      <c r="E42" s="28"/>
      <c r="F42" s="14" t="s">
        <v>25</v>
      </c>
    </row>
    <row r="43" spans="2:6" ht="13.5" thickBot="1">
      <c r="B43" s="28" t="s">
        <v>93</v>
      </c>
      <c r="C43" s="201">
        <v>0</v>
      </c>
      <c r="D43" s="28"/>
      <c r="E43" s="28"/>
      <c r="F43" s="14" t="s">
        <v>26</v>
      </c>
    </row>
    <row r="44" spans="2:6" ht="19.5" thickBot="1" thickTop="1">
      <c r="B44" s="440" t="s">
        <v>99</v>
      </c>
      <c r="C44" s="441">
        <f>SUM(C40:C43)</f>
        <v>73.33333333333334</v>
      </c>
      <c r="D44" s="88"/>
      <c r="E44" s="27"/>
      <c r="F44" s="82" t="s">
        <v>27</v>
      </c>
    </row>
    <row r="45" spans="2:6" ht="15.75">
      <c r="B45" s="515" t="s">
        <v>100</v>
      </c>
      <c r="C45" s="516"/>
      <c r="D45" s="516"/>
      <c r="E45" s="516"/>
      <c r="F45" s="516"/>
    </row>
    <row r="46" spans="2:6" ht="12.75">
      <c r="B46" s="28" t="s">
        <v>101</v>
      </c>
      <c r="C46" s="52">
        <v>0.5</v>
      </c>
      <c r="D46" s="27"/>
      <c r="E46" s="61"/>
      <c r="F46" s="75" t="s">
        <v>28</v>
      </c>
    </row>
    <row r="47" spans="2:6" ht="12.75">
      <c r="B47" s="28" t="s">
        <v>102</v>
      </c>
      <c r="C47" s="95">
        <v>9</v>
      </c>
      <c r="D47" s="27"/>
      <c r="E47" s="89"/>
      <c r="F47" s="14" t="s">
        <v>29</v>
      </c>
    </row>
    <row r="48" spans="2:6" ht="12.75">
      <c r="B48" s="28" t="s">
        <v>103</v>
      </c>
      <c r="C48" s="202">
        <f>C46*C47</f>
        <v>4.5</v>
      </c>
      <c r="D48" s="27"/>
      <c r="E48" s="89"/>
      <c r="F48" s="14" t="s">
        <v>30</v>
      </c>
    </row>
    <row r="49" spans="2:6" ht="12.75">
      <c r="B49" s="28" t="s">
        <v>104</v>
      </c>
      <c r="C49" s="93">
        <v>0.05</v>
      </c>
      <c r="D49" s="28"/>
      <c r="E49" s="25"/>
      <c r="F49" s="14" t="s">
        <v>31</v>
      </c>
    </row>
    <row r="50" spans="2:6" ht="12.75">
      <c r="B50" s="83" t="s">
        <v>105</v>
      </c>
      <c r="C50" s="203">
        <f>C49*C13</f>
        <v>17.960833333333333</v>
      </c>
      <c r="D50" s="83"/>
      <c r="E50" s="90"/>
      <c r="F50" s="14" t="s">
        <v>32</v>
      </c>
    </row>
    <row r="51" spans="2:6" ht="18.75" thickBot="1">
      <c r="B51" s="28" t="s">
        <v>106</v>
      </c>
      <c r="C51" s="94">
        <f>C48+C50</f>
        <v>22.460833333333333</v>
      </c>
      <c r="D51" s="28"/>
      <c r="E51" s="25"/>
      <c r="F51" s="82" t="s">
        <v>33</v>
      </c>
    </row>
    <row r="52" spans="2:6" ht="18.75" thickBot="1">
      <c r="B52" s="85" t="s">
        <v>107</v>
      </c>
      <c r="C52" s="442">
        <f>C34+C44+C51</f>
        <v>298.8975</v>
      </c>
      <c r="D52" s="86"/>
      <c r="E52" s="25"/>
      <c r="F52" s="82" t="s">
        <v>34</v>
      </c>
    </row>
    <row r="53" spans="2:6" ht="32.25" customHeight="1" thickBot="1">
      <c r="B53" s="188" t="s">
        <v>108</v>
      </c>
      <c r="C53" s="442">
        <f>C13-C52</f>
        <v>60.31916666666666</v>
      </c>
      <c r="D53" s="189"/>
      <c r="E53" s="110"/>
      <c r="F53" s="190"/>
    </row>
    <row r="54" spans="2:5" ht="12.75">
      <c r="B54" s="84"/>
      <c r="C54" s="84"/>
      <c r="D54" s="84"/>
      <c r="E54" s="84"/>
    </row>
  </sheetData>
  <sheetProtection/>
  <printOptions/>
  <pageMargins left="0.46" right="0.24" top="0.17" bottom="0.21" header="0.17" footer="0.19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7"/>
  <sheetViews>
    <sheetView tabSelected="1" zoomScale="90" zoomScaleNormal="90" zoomScalePageLayoutView="0" workbookViewId="0" topLeftCell="A1">
      <selection activeCell="G7" sqref="G7"/>
    </sheetView>
  </sheetViews>
  <sheetFormatPr defaultColWidth="8.75390625" defaultRowHeight="15"/>
  <cols>
    <col min="1" max="1" width="1.875" style="151" customWidth="1"/>
    <col min="2" max="2" width="11.00390625" style="151" customWidth="1"/>
    <col min="3" max="3" width="9.625" style="151" customWidth="1"/>
    <col min="4" max="4" width="10.125" style="151" customWidth="1"/>
    <col min="5" max="13" width="7.50390625" style="151" customWidth="1"/>
    <col min="14" max="14" width="23.25390625" style="151" customWidth="1"/>
    <col min="15" max="16384" width="8.75390625" style="151" customWidth="1"/>
  </cols>
  <sheetData>
    <row r="1" ht="8.25" customHeight="1"/>
    <row r="2" spans="2:14" ht="20.25" customHeight="1">
      <c r="B2" s="215" t="s">
        <v>295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2:14" ht="14.25">
      <c r="B3" s="334" t="s">
        <v>109</v>
      </c>
      <c r="C3" s="335"/>
      <c r="D3" s="335"/>
      <c r="E3" s="336"/>
      <c r="F3" s="335"/>
      <c r="G3" s="335"/>
      <c r="H3" s="337"/>
      <c r="I3" s="84"/>
      <c r="J3" s="84"/>
      <c r="K3" s="84"/>
      <c r="L3" s="84"/>
      <c r="M3" s="84"/>
      <c r="N3" s="338"/>
    </row>
    <row r="4" spans="2:14" ht="12.75">
      <c r="B4" s="339" t="s">
        <v>110</v>
      </c>
      <c r="C4" s="340"/>
      <c r="D4" s="340"/>
      <c r="E4" s="340"/>
      <c r="F4" s="525">
        <v>100</v>
      </c>
      <c r="G4" s="340"/>
      <c r="H4" s="341"/>
      <c r="I4" s="84"/>
      <c r="J4" s="84"/>
      <c r="K4" s="84"/>
      <c r="L4" s="84"/>
      <c r="M4" s="84"/>
      <c r="N4" s="338"/>
    </row>
    <row r="5" spans="2:14" ht="12.75">
      <c r="B5" s="339" t="s">
        <v>111</v>
      </c>
      <c r="C5" s="340"/>
      <c r="D5" s="340"/>
      <c r="E5" s="340"/>
      <c r="F5" s="526">
        <v>3.25</v>
      </c>
      <c r="G5" s="340" t="s">
        <v>115</v>
      </c>
      <c r="H5" s="341" t="s">
        <v>116</v>
      </c>
      <c r="I5" s="84"/>
      <c r="J5" s="84"/>
      <c r="K5" s="84"/>
      <c r="L5" s="84"/>
      <c r="M5" s="84"/>
      <c r="N5" s="338"/>
    </row>
    <row r="6" spans="2:14" ht="12.75">
      <c r="B6" s="339" t="s">
        <v>115</v>
      </c>
      <c r="C6" s="340"/>
      <c r="D6" s="340"/>
      <c r="E6" s="340"/>
      <c r="F6" s="525">
        <v>0.1</v>
      </c>
      <c r="G6" s="340"/>
      <c r="H6" s="341"/>
      <c r="I6" s="84"/>
      <c r="J6" s="84"/>
      <c r="K6" s="84"/>
      <c r="L6" s="84"/>
      <c r="M6" s="84"/>
      <c r="N6" s="338"/>
    </row>
    <row r="7" spans="2:14" ht="12.75">
      <c r="B7" s="342" t="s">
        <v>112</v>
      </c>
      <c r="C7" s="343"/>
      <c r="D7" s="343"/>
      <c r="E7" s="340"/>
      <c r="F7" s="527">
        <v>7</v>
      </c>
      <c r="G7" s="343"/>
      <c r="H7" s="344"/>
      <c r="I7" s="84"/>
      <c r="J7" s="84"/>
      <c r="K7" s="84"/>
      <c r="L7" s="84"/>
      <c r="M7" s="84"/>
      <c r="N7" s="338"/>
    </row>
    <row r="8" spans="2:14" ht="14.25">
      <c r="B8" s="345" t="s">
        <v>113</v>
      </c>
      <c r="C8" s="346"/>
      <c r="D8" s="346"/>
      <c r="E8" s="346"/>
      <c r="F8" s="346"/>
      <c r="G8" s="346"/>
      <c r="H8" s="347"/>
      <c r="I8" s="84"/>
      <c r="J8" s="84"/>
      <c r="K8" s="84"/>
      <c r="L8" s="84"/>
      <c r="M8" s="84"/>
      <c r="N8" s="338"/>
    </row>
    <row r="9" spans="2:14" ht="12.75">
      <c r="B9" s="348" t="s">
        <v>110</v>
      </c>
      <c r="C9" s="330"/>
      <c r="D9" s="330"/>
      <c r="E9" s="330"/>
      <c r="F9" s="529">
        <v>100</v>
      </c>
      <c r="G9" s="330"/>
      <c r="H9" s="349"/>
      <c r="I9" s="84"/>
      <c r="J9" s="84"/>
      <c r="K9" s="84"/>
      <c r="L9" s="84"/>
      <c r="M9" s="84"/>
      <c r="N9" s="338"/>
    </row>
    <row r="10" spans="2:14" ht="12.75">
      <c r="B10" s="348" t="s">
        <v>114</v>
      </c>
      <c r="C10" s="330"/>
      <c r="D10" s="330"/>
      <c r="E10" s="330"/>
      <c r="F10" s="529">
        <v>4</v>
      </c>
      <c r="G10" s="330"/>
      <c r="H10" s="349"/>
      <c r="I10" s="84"/>
      <c r="J10" s="84"/>
      <c r="K10" s="84"/>
      <c r="L10" s="84"/>
      <c r="M10" s="84"/>
      <c r="N10" s="338"/>
    </row>
    <row r="11" spans="2:14" ht="12.75">
      <c r="B11" s="350" t="s">
        <v>132</v>
      </c>
      <c r="C11" s="351"/>
      <c r="D11" s="351"/>
      <c r="E11" s="351"/>
      <c r="F11" s="352">
        <v>40</v>
      </c>
      <c r="G11" s="351" t="s">
        <v>123</v>
      </c>
      <c r="H11" s="353"/>
      <c r="I11" s="84"/>
      <c r="J11" s="84"/>
      <c r="K11" s="84"/>
      <c r="L11" s="84"/>
      <c r="M11" s="84"/>
      <c r="N11" s="338"/>
    </row>
    <row r="12" spans="2:14" ht="14.25" customHeight="1">
      <c r="B12" s="354" t="s">
        <v>117</v>
      </c>
      <c r="C12" s="355"/>
      <c r="D12" s="355"/>
      <c r="E12" s="356"/>
      <c r="F12" s="444"/>
      <c r="G12" s="355"/>
      <c r="H12" s="357"/>
      <c r="I12" s="84"/>
      <c r="J12" s="358"/>
      <c r="K12" s="519" t="s">
        <v>133</v>
      </c>
      <c r="L12" s="520"/>
      <c r="M12" s="520"/>
      <c r="N12" s="521"/>
    </row>
    <row r="13" spans="2:14" ht="12.75">
      <c r="B13" s="359" t="s">
        <v>110</v>
      </c>
      <c r="C13" s="360"/>
      <c r="D13" s="360"/>
      <c r="E13" s="360"/>
      <c r="F13" s="528">
        <v>100</v>
      </c>
      <c r="G13" s="360"/>
      <c r="H13" s="361"/>
      <c r="I13" s="84"/>
      <c r="J13" s="358"/>
      <c r="K13" s="362">
        <v>35</v>
      </c>
      <c r="L13" s="362">
        <v>40</v>
      </c>
      <c r="M13" s="362">
        <v>45</v>
      </c>
      <c r="N13" s="362">
        <v>50</v>
      </c>
    </row>
    <row r="14" spans="2:14" ht="12.75">
      <c r="B14" s="359" t="s">
        <v>124</v>
      </c>
      <c r="C14" s="360"/>
      <c r="D14" s="360"/>
      <c r="E14" s="360"/>
      <c r="F14" s="531">
        <v>40</v>
      </c>
      <c r="G14" s="360"/>
      <c r="H14" s="361"/>
      <c r="I14" s="84"/>
      <c r="J14" s="443">
        <v>6.5</v>
      </c>
      <c r="K14" s="363">
        <f>$J$14*K13</f>
        <v>227.5</v>
      </c>
      <c r="L14" s="363">
        <f>$J$14*L13</f>
        <v>260</v>
      </c>
      <c r="M14" s="363">
        <f>$J$14*M13</f>
        <v>292.5</v>
      </c>
      <c r="N14" s="363">
        <f>$J$14*N13</f>
        <v>325</v>
      </c>
    </row>
    <row r="15" spans="2:14" ht="12.75">
      <c r="B15" s="359" t="s">
        <v>112</v>
      </c>
      <c r="C15" s="360"/>
      <c r="D15" s="360"/>
      <c r="E15" s="360"/>
      <c r="F15" s="528">
        <v>7</v>
      </c>
      <c r="G15" s="360"/>
      <c r="H15" s="361"/>
      <c r="I15" s="84"/>
      <c r="J15" s="443">
        <v>7</v>
      </c>
      <c r="K15" s="363">
        <f>$J$15*K13</f>
        <v>245</v>
      </c>
      <c r="L15" s="363">
        <f>$J$15*L13</f>
        <v>280</v>
      </c>
      <c r="M15" s="363">
        <f>$J$15*M13</f>
        <v>315</v>
      </c>
      <c r="N15" s="363">
        <f>$J$15*N13</f>
        <v>350</v>
      </c>
    </row>
    <row r="16" spans="2:14" ht="12.75">
      <c r="B16" s="359" t="s">
        <v>118</v>
      </c>
      <c r="C16" s="360"/>
      <c r="D16" s="360"/>
      <c r="E16" s="360"/>
      <c r="F16" s="532">
        <f>F14*F15</f>
        <v>280</v>
      </c>
      <c r="G16" s="360"/>
      <c r="H16" s="361"/>
      <c r="I16" s="84"/>
      <c r="J16" s="443">
        <v>7.5</v>
      </c>
      <c r="K16" s="363">
        <f>$J$16*K13</f>
        <v>262.5</v>
      </c>
      <c r="L16" s="363">
        <f>$J$16*L13</f>
        <v>300</v>
      </c>
      <c r="M16" s="363">
        <f>$J$16*M13</f>
        <v>337.5</v>
      </c>
      <c r="N16" s="363">
        <f>$J$16*N13</f>
        <v>375</v>
      </c>
    </row>
    <row r="17" spans="2:14" ht="12.75">
      <c r="B17" s="359" t="s">
        <v>119</v>
      </c>
      <c r="C17" s="360"/>
      <c r="D17" s="360"/>
      <c r="E17" s="360"/>
      <c r="F17" s="528">
        <v>0.5</v>
      </c>
      <c r="G17" s="360" t="s">
        <v>115</v>
      </c>
      <c r="H17" s="361" t="s">
        <v>116</v>
      </c>
      <c r="I17" s="84"/>
      <c r="J17" s="443">
        <v>8</v>
      </c>
      <c r="K17" s="363">
        <f>$J$17*K13</f>
        <v>280</v>
      </c>
      <c r="L17" s="363">
        <f>$J$17*L13</f>
        <v>320</v>
      </c>
      <c r="M17" s="363">
        <f>$J$17*M13</f>
        <v>360</v>
      </c>
      <c r="N17" s="363">
        <f>$J$17*N13</f>
        <v>400</v>
      </c>
    </row>
    <row r="18" spans="2:14" ht="12.75">
      <c r="B18" s="364" t="s">
        <v>120</v>
      </c>
      <c r="C18" s="365"/>
      <c r="D18" s="365"/>
      <c r="E18" s="365"/>
      <c r="F18" s="530">
        <v>1.5</v>
      </c>
      <c r="G18" s="365" t="s">
        <v>121</v>
      </c>
      <c r="H18" s="366"/>
      <c r="I18" s="367"/>
      <c r="J18" s="443">
        <v>8.5</v>
      </c>
      <c r="K18" s="363">
        <f>$J$18*K13</f>
        <v>297.5</v>
      </c>
      <c r="L18" s="363">
        <f>$J$18*L13</f>
        <v>340</v>
      </c>
      <c r="M18" s="363">
        <f>$J$18*M13</f>
        <v>382.5</v>
      </c>
      <c r="N18" s="363">
        <f>$J$18*N13</f>
        <v>425</v>
      </c>
    </row>
    <row r="19" spans="2:14" ht="12.75">
      <c r="B19" s="368"/>
      <c r="C19" s="368"/>
      <c r="D19" s="368"/>
      <c r="E19" s="369"/>
      <c r="F19" s="369"/>
      <c r="G19" s="368"/>
      <c r="H19" s="368"/>
      <c r="I19" s="370"/>
      <c r="J19" s="371"/>
      <c r="K19" s="372"/>
      <c r="L19" s="372"/>
      <c r="M19" s="372"/>
      <c r="N19" s="372"/>
    </row>
    <row r="20" spans="2:14" ht="12.75">
      <c r="B20" s="373" t="s">
        <v>122</v>
      </c>
      <c r="C20" s="373"/>
      <c r="D20" s="374" t="s">
        <v>2</v>
      </c>
      <c r="E20" s="375"/>
      <c r="F20" s="376"/>
      <c r="G20" s="373"/>
      <c r="H20" s="374" t="s">
        <v>3</v>
      </c>
      <c r="I20" s="374"/>
      <c r="J20" s="377"/>
      <c r="K20" s="378"/>
      <c r="L20" s="379" t="s">
        <v>4</v>
      </c>
      <c r="M20" s="379"/>
      <c r="N20" s="377"/>
    </row>
    <row r="21" spans="2:14" ht="28.5" customHeight="1">
      <c r="B21" s="380"/>
      <c r="C21" s="522" t="s">
        <v>125</v>
      </c>
      <c r="D21" s="523"/>
      <c r="E21" s="523"/>
      <c r="F21" s="524"/>
      <c r="G21" s="522" t="s">
        <v>126</v>
      </c>
      <c r="H21" s="523"/>
      <c r="I21" s="523"/>
      <c r="J21" s="524"/>
      <c r="K21" s="522" t="s">
        <v>127</v>
      </c>
      <c r="L21" s="523"/>
      <c r="M21" s="523"/>
      <c r="N21" s="524"/>
    </row>
    <row r="22" spans="2:14" ht="12.75" customHeight="1">
      <c r="B22" s="381" t="s">
        <v>128</v>
      </c>
      <c r="C22" s="522" t="s">
        <v>129</v>
      </c>
      <c r="D22" s="523"/>
      <c r="E22" s="523"/>
      <c r="F22" s="524"/>
      <c r="G22" s="522" t="s">
        <v>129</v>
      </c>
      <c r="H22" s="523"/>
      <c r="I22" s="523"/>
      <c r="J22" s="524"/>
      <c r="K22" s="522" t="s">
        <v>129</v>
      </c>
      <c r="L22" s="523"/>
      <c r="M22" s="523"/>
      <c r="N22" s="524"/>
    </row>
    <row r="23" spans="2:14" ht="12.75">
      <c r="B23" s="382"/>
      <c r="C23" s="383">
        <v>35</v>
      </c>
      <c r="D23" s="384">
        <v>40</v>
      </c>
      <c r="E23" s="384">
        <v>45</v>
      </c>
      <c r="F23" s="385">
        <v>50</v>
      </c>
      <c r="G23" s="383">
        <v>35</v>
      </c>
      <c r="H23" s="384">
        <v>40</v>
      </c>
      <c r="I23" s="384">
        <v>45</v>
      </c>
      <c r="J23" s="386">
        <v>50</v>
      </c>
      <c r="K23" s="383">
        <v>35</v>
      </c>
      <c r="L23" s="384">
        <v>40</v>
      </c>
      <c r="M23" s="384">
        <v>45</v>
      </c>
      <c r="N23" s="385">
        <v>50</v>
      </c>
    </row>
    <row r="24" spans="2:14" ht="12.75">
      <c r="B24" s="445">
        <v>6.5</v>
      </c>
      <c r="C24" s="387">
        <f>$F$4+((($B$24-$F$7)/$F$6)*$F$5)</f>
        <v>83.75</v>
      </c>
      <c r="D24" s="388">
        <f>$F$4+((($B$24-$F$7)/$F$6)*$F$5)</f>
        <v>83.75</v>
      </c>
      <c r="E24" s="388">
        <f>$F$4+((($B$24-$F$7)/$F$6)*$F$5)</f>
        <v>83.75</v>
      </c>
      <c r="F24" s="389">
        <f>$F$4+((($B$24-$F$7)/$F$6)*$F$5)</f>
        <v>83.75</v>
      </c>
      <c r="G24" s="390">
        <f>$F$9+(($G$23-$F$11)*$F$10)</f>
        <v>80</v>
      </c>
      <c r="H24" s="390">
        <f>$F$9+(($H$23-$F$11)*$F$10)</f>
        <v>100</v>
      </c>
      <c r="I24" s="390">
        <f>$F$9+(($I$23-$F$11)*$F$10)</f>
        <v>120</v>
      </c>
      <c r="J24" s="390">
        <f>$F$9+(($J$23-$F$11)*$F$10)</f>
        <v>140</v>
      </c>
      <c r="K24" s="391">
        <f>$F$13+(((K23*$B$24)-$F$16)/$F$18*$F$17)</f>
        <v>82.5</v>
      </c>
      <c r="L24" s="392">
        <f>$F$13+(((L23*$B$24)-$F$16)/$F$18*$F$17)</f>
        <v>93.33333333333333</v>
      </c>
      <c r="M24" s="392">
        <f>$F$13+(((M23*$B$24)-$F$16)/$F$18*$F$17)</f>
        <v>104.16666666666667</v>
      </c>
      <c r="N24" s="393">
        <f>$F$13+(((N23*$B$24)-$F$16)/$F$18*$F$17)</f>
        <v>115</v>
      </c>
    </row>
    <row r="25" spans="2:14" ht="12.75">
      <c r="B25" s="445">
        <v>7</v>
      </c>
      <c r="C25" s="387">
        <f>$F$4+((($B$25-$F$7)/$F$6)*$F$5)</f>
        <v>100</v>
      </c>
      <c r="D25" s="388">
        <f>$F$4+((($B$25-$F$7)/$F$6)*$F$5)</f>
        <v>100</v>
      </c>
      <c r="E25" s="388">
        <f>$F$4+((($B$25-$F$7)/$F$6)*$F$5)</f>
        <v>100</v>
      </c>
      <c r="F25" s="389">
        <f>$F$4+((($B$25-$F$7)/$F$6)*$F$5)</f>
        <v>100</v>
      </c>
      <c r="G25" s="390">
        <f>$F$9+(($G$23-$F$11)*$F$10)</f>
        <v>80</v>
      </c>
      <c r="H25" s="390">
        <f>$F$9+(($H$23-$F$11)*$F$10)</f>
        <v>100</v>
      </c>
      <c r="I25" s="390">
        <f>$F$9+(($I$23-$F$11)*$F$10)</f>
        <v>120</v>
      </c>
      <c r="J25" s="390">
        <f>$F$9+(($J$23-$F$11)*$F$10)</f>
        <v>140</v>
      </c>
      <c r="K25" s="391">
        <f>$F$13+(((K23*$B$25)-$F$16)/$F$18*$F$17)</f>
        <v>88.33333333333333</v>
      </c>
      <c r="L25" s="392">
        <f>$F$13+(((L23*$B$25)-$F$16)/$F$18*$F$17)</f>
        <v>100</v>
      </c>
      <c r="M25" s="392">
        <f>$F$13+(((M23*$B$25)-$F$16)/$F$18*$F$17)</f>
        <v>111.66666666666667</v>
      </c>
      <c r="N25" s="393">
        <f>$F$13+(((N23*$B$25)-$F$16)/$F$18*$F$17)</f>
        <v>123.33333333333333</v>
      </c>
    </row>
    <row r="26" spans="2:14" ht="12.75">
      <c r="B26" s="445">
        <v>7.5</v>
      </c>
      <c r="C26" s="387">
        <f>$F$4+((($B$26-$F$7)/$F$6)*$F$5)</f>
        <v>116.25</v>
      </c>
      <c r="D26" s="388">
        <f>$F$4+((($B$26-$F$7)/$F$6)*$F$5)</f>
        <v>116.25</v>
      </c>
      <c r="E26" s="388">
        <f>$F$4+((($B$26-$F$7)/$F$6)*$F$5)</f>
        <v>116.25</v>
      </c>
      <c r="F26" s="389">
        <f>$F$4+((($B$26-$F$7)/$F$6)*$F$5)</f>
        <v>116.25</v>
      </c>
      <c r="G26" s="390">
        <f>$F$9+(($G$23-$F$11)*$F$10)</f>
        <v>80</v>
      </c>
      <c r="H26" s="390">
        <f>$F$9+(($H$23-$F$11)*$F$10)</f>
        <v>100</v>
      </c>
      <c r="I26" s="390">
        <f>$F$9+(($I$23-$F$11)*$F$10)</f>
        <v>120</v>
      </c>
      <c r="J26" s="390">
        <f>$F$9+(($J$23-$F$11)*$F$10)</f>
        <v>140</v>
      </c>
      <c r="K26" s="391">
        <f>$F$13+(((K23*$B$26)-$F$16)/$F$18*$F$17)</f>
        <v>94.16666666666667</v>
      </c>
      <c r="L26" s="392">
        <f>$F$13+(((L23*$B$26)-$F$16)/$F$18*$F$17)</f>
        <v>106.66666666666667</v>
      </c>
      <c r="M26" s="392">
        <f>$F$13+(((M23*$B$26)-$F$16)/$F$18*$F$17)</f>
        <v>119.16666666666667</v>
      </c>
      <c r="N26" s="393">
        <f>$F$13+(((N23*$B$26)-$F$16)/$F$18*$F$17)</f>
        <v>131.66666666666666</v>
      </c>
    </row>
    <row r="27" spans="2:14" ht="12.75">
      <c r="B27" s="445">
        <v>8</v>
      </c>
      <c r="C27" s="387">
        <f>$F$4+((($B$27-$F$7)/$F$6)*$F$5)</f>
        <v>132.5</v>
      </c>
      <c r="D27" s="388">
        <f>$F$4+((($B$27-$F$7)/$F$6)*$F$5)</f>
        <v>132.5</v>
      </c>
      <c r="E27" s="388">
        <f>$F$4+((($B$27-$F$7)/$F$6)*$F$5)</f>
        <v>132.5</v>
      </c>
      <c r="F27" s="389">
        <f>$F$4+((($B$27-$F$7)/$F$6)*$F$5)</f>
        <v>132.5</v>
      </c>
      <c r="G27" s="390">
        <f>$F$9+(($G$23-$F$11)*$F$10)</f>
        <v>80</v>
      </c>
      <c r="H27" s="390">
        <f>$F$9+(($H$23-$F$11)*$F$10)</f>
        <v>100</v>
      </c>
      <c r="I27" s="390">
        <f>$F$9+(($I$23-$F$11)*$F$10)</f>
        <v>120</v>
      </c>
      <c r="J27" s="390">
        <f>$F$9+(($J$23-$F$11)*$F$10)</f>
        <v>140</v>
      </c>
      <c r="K27" s="391">
        <f>$F$13+(((K23*$B$27)-$F$16)/$F$18*$F$17)</f>
        <v>100</v>
      </c>
      <c r="L27" s="392">
        <f>$F$13+(((L23*$B$27)-$F$16)/$F$18*$F$17)</f>
        <v>113.33333333333333</v>
      </c>
      <c r="M27" s="392">
        <f>$F$13+(((M23*$B$27)-$F$16)/$F$18*$F$17)</f>
        <v>126.66666666666667</v>
      </c>
      <c r="N27" s="393">
        <f>$F$13+(((N23*$B$27)-$F$16)/$F$18*$F$17)</f>
        <v>140</v>
      </c>
    </row>
    <row r="28" spans="2:14" ht="13.5" thickBot="1">
      <c r="B28" s="446">
        <v>8.5</v>
      </c>
      <c r="C28" s="394">
        <f>$F$4+((($B$28-$F$7)/$F$6)*$F$5)</f>
        <v>148.75</v>
      </c>
      <c r="D28" s="395">
        <f>$F$4+((($B$28-$F$7)/$F$6)*$F$5)</f>
        <v>148.75</v>
      </c>
      <c r="E28" s="395">
        <f>$F$4+((($B$28-$F$7)/$F$6)*$F$5)</f>
        <v>148.75</v>
      </c>
      <c r="F28" s="396">
        <f>$F$4+((($B$28-$F$7)/$F$6)*$F$5)</f>
        <v>148.75</v>
      </c>
      <c r="G28" s="390">
        <f>$F$9+(($G$23-$F$11)*$F$10)</f>
        <v>80</v>
      </c>
      <c r="H28" s="390">
        <f>$F$9+(($H$23-$F$11)*$F$10)</f>
        <v>100</v>
      </c>
      <c r="I28" s="390">
        <f>$F$9+(($I$23-$F$11)*$F$10)</f>
        <v>120</v>
      </c>
      <c r="J28" s="390">
        <f>$F$9+(($J$23-$F$11)*$F$10)</f>
        <v>140</v>
      </c>
      <c r="K28" s="397">
        <f>$F$13+(((K23*$B$28)-$F$16)/$F$18*$F$17)</f>
        <v>105.83333333333333</v>
      </c>
      <c r="L28" s="398">
        <f>$F$13+(((L23*$B$28)-$F$16)/$F$18*$F$17)</f>
        <v>120</v>
      </c>
      <c r="M28" s="398">
        <f>$F$13+(((M23*$B$28)-$F$16)/$F$18*$F$17)</f>
        <v>134.16666666666666</v>
      </c>
      <c r="N28" s="399">
        <f>$F$13+(((N23*$B$28)-$F$16)/$F$18*$F$17)</f>
        <v>148.33333333333334</v>
      </c>
    </row>
    <row r="29" spans="2:14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2:14" ht="12.75">
      <c r="B30" s="400" t="s">
        <v>130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2:14" ht="23.25" customHeight="1">
      <c r="B31" s="61"/>
      <c r="C31" s="522" t="s">
        <v>125</v>
      </c>
      <c r="D31" s="523"/>
      <c r="E31" s="523"/>
      <c r="F31" s="524"/>
      <c r="G31" s="522" t="s">
        <v>131</v>
      </c>
      <c r="H31" s="523"/>
      <c r="I31" s="523"/>
      <c r="J31" s="524"/>
      <c r="K31" s="522" t="s">
        <v>127</v>
      </c>
      <c r="L31" s="523"/>
      <c r="M31" s="523"/>
      <c r="N31" s="524"/>
    </row>
    <row r="32" spans="2:14" ht="12.75">
      <c r="B32" s="61"/>
      <c r="C32" s="384">
        <v>35</v>
      </c>
      <c r="D32" s="384">
        <v>40</v>
      </c>
      <c r="E32" s="384">
        <v>45</v>
      </c>
      <c r="F32" s="384">
        <v>50</v>
      </c>
      <c r="G32" s="384">
        <v>35</v>
      </c>
      <c r="H32" s="384">
        <v>40</v>
      </c>
      <c r="I32" s="384">
        <v>45</v>
      </c>
      <c r="J32" s="384">
        <v>50</v>
      </c>
      <c r="K32" s="384">
        <v>35</v>
      </c>
      <c r="L32" s="384">
        <v>40</v>
      </c>
      <c r="M32" s="384">
        <v>45</v>
      </c>
      <c r="N32" s="384">
        <v>50</v>
      </c>
    </row>
    <row r="33" spans="2:14" ht="12.75">
      <c r="B33" s="447">
        <v>6.5</v>
      </c>
      <c r="C33" s="401">
        <f aca="true" t="shared" si="0" ref="C33:F37">K14-C24</f>
        <v>143.75</v>
      </c>
      <c r="D33" s="401">
        <f t="shared" si="0"/>
        <v>176.25</v>
      </c>
      <c r="E33" s="401">
        <f t="shared" si="0"/>
        <v>208.75</v>
      </c>
      <c r="F33" s="401">
        <f t="shared" si="0"/>
        <v>241.25</v>
      </c>
      <c r="G33" s="402">
        <f aca="true" t="shared" si="1" ref="G33:J37">K14-G24</f>
        <v>147.5</v>
      </c>
      <c r="H33" s="402">
        <f t="shared" si="1"/>
        <v>160</v>
      </c>
      <c r="I33" s="402">
        <f t="shared" si="1"/>
        <v>172.5</v>
      </c>
      <c r="J33" s="402">
        <f t="shared" si="1"/>
        <v>185</v>
      </c>
      <c r="K33" s="403">
        <f aca="true" t="shared" si="2" ref="K33:N37">K14-K24</f>
        <v>145</v>
      </c>
      <c r="L33" s="403">
        <f t="shared" si="2"/>
        <v>166.66666666666669</v>
      </c>
      <c r="M33" s="403">
        <f t="shared" si="2"/>
        <v>188.33333333333331</v>
      </c>
      <c r="N33" s="403">
        <f t="shared" si="2"/>
        <v>210</v>
      </c>
    </row>
    <row r="34" spans="2:14" ht="12.75">
      <c r="B34" s="447">
        <v>7</v>
      </c>
      <c r="C34" s="401">
        <f t="shared" si="0"/>
        <v>145</v>
      </c>
      <c r="D34" s="401">
        <f t="shared" si="0"/>
        <v>180</v>
      </c>
      <c r="E34" s="401">
        <f t="shared" si="0"/>
        <v>215</v>
      </c>
      <c r="F34" s="401">
        <f t="shared" si="0"/>
        <v>250</v>
      </c>
      <c r="G34" s="402">
        <f t="shared" si="1"/>
        <v>165</v>
      </c>
      <c r="H34" s="402">
        <f t="shared" si="1"/>
        <v>180</v>
      </c>
      <c r="I34" s="402">
        <f t="shared" si="1"/>
        <v>195</v>
      </c>
      <c r="J34" s="402">
        <f t="shared" si="1"/>
        <v>210</v>
      </c>
      <c r="K34" s="403">
        <f t="shared" si="2"/>
        <v>156.66666666666669</v>
      </c>
      <c r="L34" s="403">
        <f t="shared" si="2"/>
        <v>180</v>
      </c>
      <c r="M34" s="403">
        <f t="shared" si="2"/>
        <v>203.33333333333331</v>
      </c>
      <c r="N34" s="403">
        <f t="shared" si="2"/>
        <v>226.66666666666669</v>
      </c>
    </row>
    <row r="35" spans="2:14" ht="12.75">
      <c r="B35" s="447">
        <v>7.5</v>
      </c>
      <c r="C35" s="401">
        <f t="shared" si="0"/>
        <v>146.25</v>
      </c>
      <c r="D35" s="401">
        <f t="shared" si="0"/>
        <v>183.75</v>
      </c>
      <c r="E35" s="401">
        <f t="shared" si="0"/>
        <v>221.25</v>
      </c>
      <c r="F35" s="401">
        <f t="shared" si="0"/>
        <v>258.75</v>
      </c>
      <c r="G35" s="402">
        <f t="shared" si="1"/>
        <v>182.5</v>
      </c>
      <c r="H35" s="402">
        <f t="shared" si="1"/>
        <v>200</v>
      </c>
      <c r="I35" s="402">
        <f t="shared" si="1"/>
        <v>217.5</v>
      </c>
      <c r="J35" s="402">
        <f t="shared" si="1"/>
        <v>235</v>
      </c>
      <c r="K35" s="403">
        <f t="shared" si="2"/>
        <v>168.33333333333331</v>
      </c>
      <c r="L35" s="403">
        <f t="shared" si="2"/>
        <v>193.33333333333331</v>
      </c>
      <c r="M35" s="403">
        <f t="shared" si="2"/>
        <v>218.33333333333331</v>
      </c>
      <c r="N35" s="403">
        <f t="shared" si="2"/>
        <v>243.33333333333334</v>
      </c>
    </row>
    <row r="36" spans="2:14" ht="12.75">
      <c r="B36" s="447">
        <v>8</v>
      </c>
      <c r="C36" s="401">
        <f t="shared" si="0"/>
        <v>147.5</v>
      </c>
      <c r="D36" s="401">
        <f t="shared" si="0"/>
        <v>187.5</v>
      </c>
      <c r="E36" s="401">
        <f t="shared" si="0"/>
        <v>227.5</v>
      </c>
      <c r="F36" s="401">
        <f t="shared" si="0"/>
        <v>267.5</v>
      </c>
      <c r="G36" s="402">
        <f t="shared" si="1"/>
        <v>200</v>
      </c>
      <c r="H36" s="402">
        <f t="shared" si="1"/>
        <v>220</v>
      </c>
      <c r="I36" s="402">
        <f t="shared" si="1"/>
        <v>240</v>
      </c>
      <c r="J36" s="402">
        <f t="shared" si="1"/>
        <v>260</v>
      </c>
      <c r="K36" s="403">
        <f t="shared" si="2"/>
        <v>180</v>
      </c>
      <c r="L36" s="403">
        <f t="shared" si="2"/>
        <v>206.66666666666669</v>
      </c>
      <c r="M36" s="403">
        <f t="shared" si="2"/>
        <v>233.33333333333331</v>
      </c>
      <c r="N36" s="403">
        <f t="shared" si="2"/>
        <v>260</v>
      </c>
    </row>
    <row r="37" spans="2:14" ht="12.75">
      <c r="B37" s="447">
        <v>8.5</v>
      </c>
      <c r="C37" s="401">
        <f t="shared" si="0"/>
        <v>148.75</v>
      </c>
      <c r="D37" s="401">
        <f t="shared" si="0"/>
        <v>191.25</v>
      </c>
      <c r="E37" s="401">
        <f t="shared" si="0"/>
        <v>233.75</v>
      </c>
      <c r="F37" s="404">
        <f t="shared" si="0"/>
        <v>276.25</v>
      </c>
      <c r="G37" s="402">
        <f t="shared" si="1"/>
        <v>217.5</v>
      </c>
      <c r="H37" s="402">
        <f t="shared" si="1"/>
        <v>240</v>
      </c>
      <c r="I37" s="402">
        <f t="shared" si="1"/>
        <v>262.5</v>
      </c>
      <c r="J37" s="405">
        <f t="shared" si="1"/>
        <v>285</v>
      </c>
      <c r="K37" s="403">
        <f t="shared" si="2"/>
        <v>191.66666666666669</v>
      </c>
      <c r="L37" s="403">
        <f t="shared" si="2"/>
        <v>220</v>
      </c>
      <c r="M37" s="403">
        <f t="shared" si="2"/>
        <v>248.33333333333334</v>
      </c>
      <c r="N37" s="406">
        <f t="shared" si="2"/>
        <v>276.66666666666663</v>
      </c>
    </row>
    <row r="38" spans="2:14" ht="12.7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2:14" ht="12.75">
      <c r="B39" s="400" t="s">
        <v>270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2:14" ht="24" customHeight="1">
      <c r="B40" s="61"/>
      <c r="C40" s="522" t="s">
        <v>125</v>
      </c>
      <c r="D40" s="523"/>
      <c r="E40" s="523"/>
      <c r="F40" s="524"/>
      <c r="G40" s="522" t="s">
        <v>131</v>
      </c>
      <c r="H40" s="523"/>
      <c r="I40" s="523"/>
      <c r="J40" s="524"/>
      <c r="K40" s="522" t="s">
        <v>127</v>
      </c>
      <c r="L40" s="523"/>
      <c r="M40" s="523"/>
      <c r="N40" s="524"/>
    </row>
    <row r="41" spans="2:14" ht="12.75">
      <c r="B41" s="61"/>
      <c r="C41" s="384">
        <v>35</v>
      </c>
      <c r="D41" s="384">
        <v>40</v>
      </c>
      <c r="E41" s="384">
        <v>45</v>
      </c>
      <c r="F41" s="384">
        <v>50</v>
      </c>
      <c r="G41" s="384">
        <v>35</v>
      </c>
      <c r="H41" s="384">
        <v>40</v>
      </c>
      <c r="I41" s="384">
        <v>45</v>
      </c>
      <c r="J41" s="384">
        <v>50</v>
      </c>
      <c r="K41" s="384">
        <v>35</v>
      </c>
      <c r="L41" s="384">
        <v>40</v>
      </c>
      <c r="M41" s="384">
        <v>45</v>
      </c>
      <c r="N41" s="384">
        <v>50</v>
      </c>
    </row>
    <row r="42" spans="2:14" ht="12.75">
      <c r="B42" s="447">
        <v>6.5</v>
      </c>
      <c r="C42" s="407">
        <f aca="true" t="shared" si="3" ref="C42:F46">(K14-C24)/K14</f>
        <v>0.6318681318681318</v>
      </c>
      <c r="D42" s="407">
        <f t="shared" si="3"/>
        <v>0.6778846153846154</v>
      </c>
      <c r="E42" s="407">
        <f t="shared" si="3"/>
        <v>0.7136752136752137</v>
      </c>
      <c r="F42" s="407">
        <f t="shared" si="3"/>
        <v>0.7423076923076923</v>
      </c>
      <c r="G42" s="408">
        <f aca="true" t="shared" si="4" ref="G42:J46">(K14-G24)/K14</f>
        <v>0.6483516483516484</v>
      </c>
      <c r="H42" s="408">
        <f t="shared" si="4"/>
        <v>0.6153846153846154</v>
      </c>
      <c r="I42" s="408">
        <f t="shared" si="4"/>
        <v>0.5897435897435898</v>
      </c>
      <c r="J42" s="408">
        <f t="shared" si="4"/>
        <v>0.5692307692307692</v>
      </c>
      <c r="K42" s="409">
        <f aca="true" t="shared" si="5" ref="K42:N46">(K14-K24)/K14</f>
        <v>0.6373626373626373</v>
      </c>
      <c r="L42" s="409">
        <f t="shared" si="5"/>
        <v>0.6410256410256411</v>
      </c>
      <c r="M42" s="409">
        <f t="shared" si="5"/>
        <v>0.6438746438746438</v>
      </c>
      <c r="N42" s="409">
        <f t="shared" si="5"/>
        <v>0.6461538461538462</v>
      </c>
    </row>
    <row r="43" spans="2:14" ht="12.75">
      <c r="B43" s="447">
        <v>7</v>
      </c>
      <c r="C43" s="407">
        <f t="shared" si="3"/>
        <v>0.5918367346938775</v>
      </c>
      <c r="D43" s="407">
        <f t="shared" si="3"/>
        <v>0.6428571428571429</v>
      </c>
      <c r="E43" s="407">
        <f t="shared" si="3"/>
        <v>0.6825396825396826</v>
      </c>
      <c r="F43" s="407">
        <f t="shared" si="3"/>
        <v>0.7142857142857143</v>
      </c>
      <c r="G43" s="408">
        <f t="shared" si="4"/>
        <v>0.673469387755102</v>
      </c>
      <c r="H43" s="408">
        <f t="shared" si="4"/>
        <v>0.6428571428571429</v>
      </c>
      <c r="I43" s="408">
        <f t="shared" si="4"/>
        <v>0.6190476190476191</v>
      </c>
      <c r="J43" s="408">
        <f t="shared" si="4"/>
        <v>0.6</v>
      </c>
      <c r="K43" s="409">
        <f t="shared" si="5"/>
        <v>0.6394557823129252</v>
      </c>
      <c r="L43" s="409">
        <f t="shared" si="5"/>
        <v>0.6428571428571429</v>
      </c>
      <c r="M43" s="409">
        <f t="shared" si="5"/>
        <v>0.6455026455026455</v>
      </c>
      <c r="N43" s="409">
        <f t="shared" si="5"/>
        <v>0.6476190476190476</v>
      </c>
    </row>
    <row r="44" spans="2:14" ht="12.75">
      <c r="B44" s="447">
        <v>7.5</v>
      </c>
      <c r="C44" s="407">
        <f t="shared" si="3"/>
        <v>0.5571428571428572</v>
      </c>
      <c r="D44" s="407">
        <f t="shared" si="3"/>
        <v>0.6125</v>
      </c>
      <c r="E44" s="407">
        <f t="shared" si="3"/>
        <v>0.6555555555555556</v>
      </c>
      <c r="F44" s="407">
        <f t="shared" si="3"/>
        <v>0.69</v>
      </c>
      <c r="G44" s="408">
        <f t="shared" si="4"/>
        <v>0.6952380952380952</v>
      </c>
      <c r="H44" s="408">
        <f t="shared" si="4"/>
        <v>0.6666666666666666</v>
      </c>
      <c r="I44" s="408">
        <f t="shared" si="4"/>
        <v>0.6444444444444445</v>
      </c>
      <c r="J44" s="408">
        <f t="shared" si="4"/>
        <v>0.6266666666666667</v>
      </c>
      <c r="K44" s="409">
        <f t="shared" si="5"/>
        <v>0.6412698412698412</v>
      </c>
      <c r="L44" s="409">
        <f t="shared" si="5"/>
        <v>0.6444444444444444</v>
      </c>
      <c r="M44" s="409">
        <f t="shared" si="5"/>
        <v>0.6469135802469135</v>
      </c>
      <c r="N44" s="409">
        <f t="shared" si="5"/>
        <v>0.648888888888889</v>
      </c>
    </row>
    <row r="45" spans="2:14" ht="12.75">
      <c r="B45" s="447">
        <v>8</v>
      </c>
      <c r="C45" s="407">
        <f t="shared" si="3"/>
        <v>0.5267857142857143</v>
      </c>
      <c r="D45" s="407">
        <f t="shared" si="3"/>
        <v>0.5859375</v>
      </c>
      <c r="E45" s="407">
        <f t="shared" si="3"/>
        <v>0.6319444444444444</v>
      </c>
      <c r="F45" s="407">
        <f t="shared" si="3"/>
        <v>0.66875</v>
      </c>
      <c r="G45" s="408">
        <f t="shared" si="4"/>
        <v>0.7142857142857143</v>
      </c>
      <c r="H45" s="408">
        <f t="shared" si="4"/>
        <v>0.6875</v>
      </c>
      <c r="I45" s="408">
        <f t="shared" si="4"/>
        <v>0.6666666666666666</v>
      </c>
      <c r="J45" s="408">
        <f t="shared" si="4"/>
        <v>0.65</v>
      </c>
      <c r="K45" s="409">
        <f t="shared" si="5"/>
        <v>0.6428571428571429</v>
      </c>
      <c r="L45" s="409">
        <f t="shared" si="5"/>
        <v>0.6458333333333334</v>
      </c>
      <c r="M45" s="409">
        <f t="shared" si="5"/>
        <v>0.6481481481481481</v>
      </c>
      <c r="N45" s="409">
        <f t="shared" si="5"/>
        <v>0.65</v>
      </c>
    </row>
    <row r="46" spans="2:14" ht="12.75">
      <c r="B46" s="447">
        <v>8.5</v>
      </c>
      <c r="C46" s="407">
        <f t="shared" si="3"/>
        <v>0.5</v>
      </c>
      <c r="D46" s="407">
        <f t="shared" si="3"/>
        <v>0.5625</v>
      </c>
      <c r="E46" s="407">
        <f t="shared" si="3"/>
        <v>0.6111111111111112</v>
      </c>
      <c r="F46" s="407">
        <f t="shared" si="3"/>
        <v>0.65</v>
      </c>
      <c r="G46" s="408">
        <f t="shared" si="4"/>
        <v>0.7310924369747899</v>
      </c>
      <c r="H46" s="408">
        <f t="shared" si="4"/>
        <v>0.7058823529411765</v>
      </c>
      <c r="I46" s="408">
        <f t="shared" si="4"/>
        <v>0.6862745098039216</v>
      </c>
      <c r="J46" s="408">
        <f t="shared" si="4"/>
        <v>0.6705882352941176</v>
      </c>
      <c r="K46" s="409">
        <f t="shared" si="5"/>
        <v>0.6442577030812325</v>
      </c>
      <c r="L46" s="409">
        <f t="shared" si="5"/>
        <v>0.6470588235294118</v>
      </c>
      <c r="M46" s="409">
        <f t="shared" si="5"/>
        <v>0.6492374727668846</v>
      </c>
      <c r="N46" s="409">
        <f t="shared" si="5"/>
        <v>0.6509803921568627</v>
      </c>
    </row>
    <row r="47" spans="2:14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2"/>
  <sheetViews>
    <sheetView zoomScale="80" zoomScaleNormal="80" zoomScalePageLayoutView="0" workbookViewId="0" topLeftCell="A1">
      <selection activeCell="N10" sqref="N10"/>
    </sheetView>
  </sheetViews>
  <sheetFormatPr defaultColWidth="8.75390625" defaultRowHeight="15"/>
  <cols>
    <col min="1" max="1" width="2.75390625" style="1" customWidth="1"/>
    <col min="2" max="2" width="18.875" style="1" customWidth="1"/>
    <col min="3" max="3" width="10.625" style="1" customWidth="1"/>
    <col min="4" max="4" width="9.75390625" style="2" customWidth="1"/>
    <col min="5" max="6" width="9.75390625" style="1" customWidth="1"/>
    <col min="7" max="7" width="9.75390625" style="2" customWidth="1"/>
    <col min="8" max="9" width="9.75390625" style="1" customWidth="1"/>
    <col min="10" max="10" width="11.75390625" style="1" customWidth="1"/>
    <col min="11" max="16384" width="8.75390625" style="1" customWidth="1"/>
  </cols>
  <sheetData>
    <row r="1" ht="8.25" customHeight="1"/>
    <row r="2" spans="2:10" ht="23.25">
      <c r="B2" s="215" t="s">
        <v>267</v>
      </c>
      <c r="C2" s="215"/>
      <c r="D2" s="215"/>
      <c r="E2" s="215"/>
      <c r="F2" s="215"/>
      <c r="G2" s="215"/>
      <c r="H2" s="215"/>
      <c r="I2" s="215"/>
      <c r="J2" s="215"/>
    </row>
    <row r="3" spans="2:10" ht="11.25">
      <c r="B3" s="179"/>
      <c r="C3" s="3"/>
      <c r="D3" s="4"/>
      <c r="E3" s="3"/>
      <c r="F3" s="3"/>
      <c r="G3" s="4"/>
      <c r="H3" s="3"/>
      <c r="I3" s="3"/>
      <c r="J3" s="5"/>
    </row>
    <row r="4" spans="2:10" ht="12.75">
      <c r="B4" s="114" t="s">
        <v>135</v>
      </c>
      <c r="C4" s="113"/>
      <c r="D4" s="285">
        <v>3.32</v>
      </c>
      <c r="E4" s="113" t="s">
        <v>134</v>
      </c>
      <c r="F4" s="3"/>
      <c r="G4" s="4"/>
      <c r="H4" s="3"/>
      <c r="I4" s="3"/>
      <c r="J4" s="5"/>
    </row>
    <row r="5" spans="2:10" ht="12.75">
      <c r="B5" s="114" t="s">
        <v>142</v>
      </c>
      <c r="C5" s="113"/>
      <c r="D5" s="285">
        <v>300</v>
      </c>
      <c r="E5" s="113" t="s">
        <v>136</v>
      </c>
      <c r="F5" s="3"/>
      <c r="G5" s="4"/>
      <c r="H5" s="3"/>
      <c r="I5" s="3"/>
      <c r="J5" s="5"/>
    </row>
    <row r="6" spans="2:10" ht="12.75">
      <c r="B6" s="114" t="s">
        <v>141</v>
      </c>
      <c r="C6" s="113"/>
      <c r="D6" s="327">
        <v>120</v>
      </c>
      <c r="E6" s="113" t="s">
        <v>136</v>
      </c>
      <c r="F6" s="3"/>
      <c r="G6" s="4"/>
      <c r="H6" s="3"/>
      <c r="I6" s="3"/>
      <c r="J6" s="5"/>
    </row>
    <row r="7" spans="2:10" ht="12.75">
      <c r="B7" s="114" t="s">
        <v>140</v>
      </c>
      <c r="C7" s="113"/>
      <c r="D7" s="286">
        <v>0.16</v>
      </c>
      <c r="E7" s="113"/>
      <c r="F7" s="3"/>
      <c r="G7" s="4"/>
      <c r="H7" s="3"/>
      <c r="I7" s="3"/>
      <c r="J7" s="5"/>
    </row>
    <row r="8" spans="2:10" ht="12.75">
      <c r="B8" s="115" t="s">
        <v>139</v>
      </c>
      <c r="C8" s="29"/>
      <c r="D8" s="287">
        <v>100</v>
      </c>
      <c r="E8" s="29" t="s">
        <v>137</v>
      </c>
      <c r="F8" s="3"/>
      <c r="G8" s="4"/>
      <c r="H8" s="3"/>
      <c r="I8" s="3"/>
      <c r="J8" s="180"/>
    </row>
    <row r="9" spans="2:10" ht="12.75">
      <c r="B9" s="177"/>
      <c r="C9" s="182"/>
      <c r="D9" s="183" t="s">
        <v>195</v>
      </c>
      <c r="E9" s="184"/>
      <c r="F9" s="182"/>
      <c r="G9" s="183" t="s">
        <v>196</v>
      </c>
      <c r="H9" s="184"/>
      <c r="I9" s="181"/>
      <c r="J9" s="178"/>
    </row>
    <row r="10" spans="2:10" ht="38.25" customHeight="1" thickBot="1">
      <c r="B10" s="288" t="s">
        <v>143</v>
      </c>
      <c r="C10" s="289" t="s">
        <v>138</v>
      </c>
      <c r="D10" s="290" t="s">
        <v>144</v>
      </c>
      <c r="E10" s="289" t="s">
        <v>145</v>
      </c>
      <c r="F10" s="291" t="s">
        <v>138</v>
      </c>
      <c r="G10" s="290" t="s">
        <v>144</v>
      </c>
      <c r="H10" s="289" t="s">
        <v>145</v>
      </c>
      <c r="I10" s="291" t="s">
        <v>146</v>
      </c>
      <c r="J10" s="292" t="s">
        <v>147</v>
      </c>
    </row>
    <row r="11" spans="2:10" ht="12.75">
      <c r="B11" s="293">
        <f>D8</f>
        <v>100</v>
      </c>
      <c r="C11" s="294">
        <f>D7</f>
        <v>0.16</v>
      </c>
      <c r="D11" s="295">
        <f>+B11*C11</f>
        <v>16</v>
      </c>
      <c r="E11" s="296">
        <f aca="true" t="shared" si="0" ref="E11:E27">+D11*$D$4</f>
        <v>53.12</v>
      </c>
      <c r="F11" s="297">
        <f>1-C11</f>
        <v>0.84</v>
      </c>
      <c r="G11" s="298">
        <f aca="true" t="shared" si="1" ref="G11:G27">+B11*F11</f>
        <v>84</v>
      </c>
      <c r="H11" s="299">
        <f aca="true" t="shared" si="2" ref="H11:H27">+G11*$D$4</f>
        <v>278.88</v>
      </c>
      <c r="I11" s="300">
        <f aca="true" t="shared" si="3" ref="I11:I27">+H11-$D$5</f>
        <v>-21.120000000000005</v>
      </c>
      <c r="J11" s="301">
        <f aca="true" t="shared" si="4" ref="J11:J27">+B11*$D$4-$D$6-$D$5</f>
        <v>-88</v>
      </c>
    </row>
    <row r="12" spans="2:10" ht="12.75">
      <c r="B12" s="23">
        <f>+B11+5</f>
        <v>105</v>
      </c>
      <c r="C12" s="302">
        <f>+C11</f>
        <v>0.16</v>
      </c>
      <c r="D12" s="303">
        <f aca="true" t="shared" si="5" ref="D12:D27">+B12*C12</f>
        <v>16.8</v>
      </c>
      <c r="E12" s="304">
        <f t="shared" si="0"/>
        <v>55.775999999999996</v>
      </c>
      <c r="F12" s="305">
        <f aca="true" t="shared" si="6" ref="F12:F27">1-C12</f>
        <v>0.84</v>
      </c>
      <c r="G12" s="306">
        <f t="shared" si="1"/>
        <v>88.2</v>
      </c>
      <c r="H12" s="307">
        <f t="shared" si="2"/>
        <v>292.824</v>
      </c>
      <c r="I12" s="308">
        <f t="shared" si="3"/>
        <v>-7.175999999999988</v>
      </c>
      <c r="J12" s="309">
        <f t="shared" si="4"/>
        <v>-71.40000000000003</v>
      </c>
    </row>
    <row r="13" spans="2:10" ht="12.75">
      <c r="B13" s="23">
        <f aca="true" t="shared" si="7" ref="B13:B27">+B12+5</f>
        <v>110</v>
      </c>
      <c r="C13" s="302">
        <f>+C12</f>
        <v>0.16</v>
      </c>
      <c r="D13" s="303">
        <f t="shared" si="5"/>
        <v>17.6</v>
      </c>
      <c r="E13" s="304">
        <f t="shared" si="0"/>
        <v>58.432</v>
      </c>
      <c r="F13" s="305">
        <f t="shared" si="6"/>
        <v>0.84</v>
      </c>
      <c r="G13" s="306">
        <f t="shared" si="1"/>
        <v>92.39999999999999</v>
      </c>
      <c r="H13" s="307">
        <f t="shared" si="2"/>
        <v>306.768</v>
      </c>
      <c r="I13" s="308">
        <f t="shared" si="3"/>
        <v>6.767999999999972</v>
      </c>
      <c r="J13" s="309">
        <f t="shared" si="4"/>
        <v>-54.80000000000001</v>
      </c>
    </row>
    <row r="14" spans="2:10" ht="12.75">
      <c r="B14" s="23">
        <f t="shared" si="7"/>
        <v>115</v>
      </c>
      <c r="C14" s="302">
        <f>+C13</f>
        <v>0.16</v>
      </c>
      <c r="D14" s="303">
        <f t="shared" si="5"/>
        <v>18.400000000000002</v>
      </c>
      <c r="E14" s="304">
        <f t="shared" si="0"/>
        <v>61.088</v>
      </c>
      <c r="F14" s="305">
        <f t="shared" si="6"/>
        <v>0.84</v>
      </c>
      <c r="G14" s="306">
        <f t="shared" si="1"/>
        <v>96.6</v>
      </c>
      <c r="H14" s="307">
        <f t="shared" si="2"/>
        <v>320.712</v>
      </c>
      <c r="I14" s="308">
        <f t="shared" si="3"/>
        <v>20.71199999999999</v>
      </c>
      <c r="J14" s="309">
        <f t="shared" si="4"/>
        <v>-38.200000000000045</v>
      </c>
    </row>
    <row r="15" spans="2:10" ht="12.75">
      <c r="B15" s="23">
        <f t="shared" si="7"/>
        <v>120</v>
      </c>
      <c r="C15" s="302">
        <f>C13+0.02</f>
        <v>0.18</v>
      </c>
      <c r="D15" s="303">
        <f t="shared" si="5"/>
        <v>21.599999999999998</v>
      </c>
      <c r="E15" s="304">
        <f t="shared" si="0"/>
        <v>71.71199999999999</v>
      </c>
      <c r="F15" s="305">
        <f t="shared" si="6"/>
        <v>0.8200000000000001</v>
      </c>
      <c r="G15" s="306">
        <f t="shared" si="1"/>
        <v>98.4</v>
      </c>
      <c r="H15" s="307">
        <f t="shared" si="2"/>
        <v>326.688</v>
      </c>
      <c r="I15" s="308">
        <f t="shared" si="3"/>
        <v>26.687999999999988</v>
      </c>
      <c r="J15" s="309">
        <f t="shared" si="4"/>
        <v>-21.600000000000023</v>
      </c>
    </row>
    <row r="16" spans="2:10" ht="12.75">
      <c r="B16" s="23">
        <f t="shared" si="7"/>
        <v>125</v>
      </c>
      <c r="C16" s="302">
        <f>+C15</f>
        <v>0.18</v>
      </c>
      <c r="D16" s="303">
        <f t="shared" si="5"/>
        <v>22.5</v>
      </c>
      <c r="E16" s="304">
        <f t="shared" si="0"/>
        <v>74.7</v>
      </c>
      <c r="F16" s="305">
        <f t="shared" si="6"/>
        <v>0.8200000000000001</v>
      </c>
      <c r="G16" s="306">
        <f t="shared" si="1"/>
        <v>102.50000000000001</v>
      </c>
      <c r="H16" s="307">
        <f t="shared" si="2"/>
        <v>340.3</v>
      </c>
      <c r="I16" s="308">
        <f t="shared" si="3"/>
        <v>40.30000000000001</v>
      </c>
      <c r="J16" s="309">
        <f t="shared" si="4"/>
        <v>-5</v>
      </c>
    </row>
    <row r="17" spans="2:10" ht="12.75">
      <c r="B17" s="23">
        <f t="shared" si="7"/>
        <v>130</v>
      </c>
      <c r="C17" s="302">
        <f>+C16</f>
        <v>0.18</v>
      </c>
      <c r="D17" s="303">
        <f t="shared" si="5"/>
        <v>23.4</v>
      </c>
      <c r="E17" s="304">
        <f t="shared" si="0"/>
        <v>77.68799999999999</v>
      </c>
      <c r="F17" s="305">
        <f t="shared" si="6"/>
        <v>0.8200000000000001</v>
      </c>
      <c r="G17" s="306">
        <f t="shared" si="1"/>
        <v>106.60000000000001</v>
      </c>
      <c r="H17" s="307">
        <f t="shared" si="2"/>
        <v>353.91200000000003</v>
      </c>
      <c r="I17" s="308">
        <f t="shared" si="3"/>
        <v>53.912000000000035</v>
      </c>
      <c r="J17" s="309">
        <f t="shared" si="4"/>
        <v>11.599999999999966</v>
      </c>
    </row>
    <row r="18" spans="2:10" ht="12.75">
      <c r="B18" s="23">
        <f t="shared" si="7"/>
        <v>135</v>
      </c>
      <c r="C18" s="302">
        <f>+C17</f>
        <v>0.18</v>
      </c>
      <c r="D18" s="303">
        <f t="shared" si="5"/>
        <v>24.3</v>
      </c>
      <c r="E18" s="304">
        <f t="shared" si="0"/>
        <v>80.676</v>
      </c>
      <c r="F18" s="305">
        <f t="shared" si="6"/>
        <v>0.8200000000000001</v>
      </c>
      <c r="G18" s="306">
        <f t="shared" si="1"/>
        <v>110.7</v>
      </c>
      <c r="H18" s="307">
        <f t="shared" si="2"/>
        <v>367.524</v>
      </c>
      <c r="I18" s="308">
        <f t="shared" si="3"/>
        <v>67.524</v>
      </c>
      <c r="J18" s="309">
        <f t="shared" si="4"/>
        <v>28.19999999999999</v>
      </c>
    </row>
    <row r="19" spans="2:10" ht="12.75">
      <c r="B19" s="23">
        <f t="shared" si="7"/>
        <v>140</v>
      </c>
      <c r="C19" s="302">
        <f>C18+0.02</f>
        <v>0.19999999999999998</v>
      </c>
      <c r="D19" s="303">
        <f t="shared" si="5"/>
        <v>27.999999999999996</v>
      </c>
      <c r="E19" s="304">
        <f t="shared" si="0"/>
        <v>92.95999999999998</v>
      </c>
      <c r="F19" s="305">
        <f t="shared" si="6"/>
        <v>0.8</v>
      </c>
      <c r="G19" s="306">
        <f t="shared" si="1"/>
        <v>112</v>
      </c>
      <c r="H19" s="307">
        <f t="shared" si="2"/>
        <v>371.84</v>
      </c>
      <c r="I19" s="308">
        <f t="shared" si="3"/>
        <v>71.83999999999997</v>
      </c>
      <c r="J19" s="309">
        <f t="shared" si="4"/>
        <v>44.799999999999955</v>
      </c>
    </row>
    <row r="20" spans="2:10" ht="12.75">
      <c r="B20" s="23">
        <f t="shared" si="7"/>
        <v>145</v>
      </c>
      <c r="C20" s="302">
        <f>C19</f>
        <v>0.19999999999999998</v>
      </c>
      <c r="D20" s="303">
        <f t="shared" si="5"/>
        <v>28.999999999999996</v>
      </c>
      <c r="E20" s="304">
        <f t="shared" si="0"/>
        <v>96.27999999999999</v>
      </c>
      <c r="F20" s="305">
        <f t="shared" si="6"/>
        <v>0.8</v>
      </c>
      <c r="G20" s="306">
        <f t="shared" si="1"/>
        <v>116</v>
      </c>
      <c r="H20" s="307">
        <f t="shared" si="2"/>
        <v>385.12</v>
      </c>
      <c r="I20" s="308">
        <f t="shared" si="3"/>
        <v>85.12</v>
      </c>
      <c r="J20" s="309">
        <f t="shared" si="4"/>
        <v>61.39999999999998</v>
      </c>
    </row>
    <row r="21" spans="2:10" ht="12.75">
      <c r="B21" s="23">
        <f t="shared" si="7"/>
        <v>150</v>
      </c>
      <c r="C21" s="302">
        <f>C20+0.02</f>
        <v>0.21999999999999997</v>
      </c>
      <c r="D21" s="303">
        <f t="shared" si="5"/>
        <v>32.99999999999999</v>
      </c>
      <c r="E21" s="304">
        <f t="shared" si="0"/>
        <v>109.55999999999997</v>
      </c>
      <c r="F21" s="305">
        <f t="shared" si="6"/>
        <v>0.78</v>
      </c>
      <c r="G21" s="306">
        <f t="shared" si="1"/>
        <v>117</v>
      </c>
      <c r="H21" s="307">
        <f t="shared" si="2"/>
        <v>388.44</v>
      </c>
      <c r="I21" s="308">
        <f t="shared" si="3"/>
        <v>88.44</v>
      </c>
      <c r="J21" s="309">
        <f t="shared" si="4"/>
        <v>78</v>
      </c>
    </row>
    <row r="22" spans="2:10" ht="12.75">
      <c r="B22" s="23">
        <f t="shared" si="7"/>
        <v>155</v>
      </c>
      <c r="C22" s="302">
        <f>C21</f>
        <v>0.21999999999999997</v>
      </c>
      <c r="D22" s="303">
        <f t="shared" si="5"/>
        <v>34.099999999999994</v>
      </c>
      <c r="E22" s="304">
        <f t="shared" si="0"/>
        <v>113.21199999999997</v>
      </c>
      <c r="F22" s="305">
        <f t="shared" si="6"/>
        <v>0.78</v>
      </c>
      <c r="G22" s="306">
        <f t="shared" si="1"/>
        <v>120.9</v>
      </c>
      <c r="H22" s="307">
        <f t="shared" si="2"/>
        <v>401.388</v>
      </c>
      <c r="I22" s="308">
        <f t="shared" si="3"/>
        <v>101.38799999999998</v>
      </c>
      <c r="J22" s="309">
        <f t="shared" si="4"/>
        <v>94.60000000000002</v>
      </c>
    </row>
    <row r="23" spans="2:10" ht="12.75">
      <c r="B23" s="23">
        <f t="shared" si="7"/>
        <v>160</v>
      </c>
      <c r="C23" s="302">
        <f>C22+0.02</f>
        <v>0.23999999999999996</v>
      </c>
      <c r="D23" s="303">
        <f t="shared" si="5"/>
        <v>38.39999999999999</v>
      </c>
      <c r="E23" s="304">
        <f t="shared" si="0"/>
        <v>127.48799999999997</v>
      </c>
      <c r="F23" s="305">
        <f t="shared" si="6"/>
        <v>0.76</v>
      </c>
      <c r="G23" s="306">
        <f t="shared" si="1"/>
        <v>121.6</v>
      </c>
      <c r="H23" s="307">
        <f t="shared" si="2"/>
        <v>403.712</v>
      </c>
      <c r="I23" s="308">
        <f t="shared" si="3"/>
        <v>103.71199999999999</v>
      </c>
      <c r="J23" s="309">
        <f t="shared" si="4"/>
        <v>111.19999999999993</v>
      </c>
    </row>
    <row r="24" spans="2:10" ht="12.75">
      <c r="B24" s="23">
        <f t="shared" si="7"/>
        <v>165</v>
      </c>
      <c r="C24" s="302">
        <f>C23</f>
        <v>0.23999999999999996</v>
      </c>
      <c r="D24" s="303">
        <f t="shared" si="5"/>
        <v>39.599999999999994</v>
      </c>
      <c r="E24" s="304">
        <f t="shared" si="0"/>
        <v>131.47199999999998</v>
      </c>
      <c r="F24" s="305">
        <f t="shared" si="6"/>
        <v>0.76</v>
      </c>
      <c r="G24" s="306">
        <f t="shared" si="1"/>
        <v>125.4</v>
      </c>
      <c r="H24" s="307">
        <f t="shared" si="2"/>
        <v>416.328</v>
      </c>
      <c r="I24" s="308">
        <f t="shared" si="3"/>
        <v>116.32799999999997</v>
      </c>
      <c r="J24" s="309">
        <f t="shared" si="4"/>
        <v>127.79999999999995</v>
      </c>
    </row>
    <row r="25" spans="2:10" ht="12.75">
      <c r="B25" s="23">
        <f t="shared" si="7"/>
        <v>170</v>
      </c>
      <c r="C25" s="302">
        <f>C24+0.02</f>
        <v>0.25999999999999995</v>
      </c>
      <c r="D25" s="303">
        <f t="shared" si="5"/>
        <v>44.19999999999999</v>
      </c>
      <c r="E25" s="304">
        <f t="shared" si="0"/>
        <v>146.74399999999994</v>
      </c>
      <c r="F25" s="305">
        <f t="shared" si="6"/>
        <v>0.74</v>
      </c>
      <c r="G25" s="306">
        <f t="shared" si="1"/>
        <v>125.8</v>
      </c>
      <c r="H25" s="307">
        <f t="shared" si="2"/>
        <v>417.65599999999995</v>
      </c>
      <c r="I25" s="308">
        <f t="shared" si="3"/>
        <v>117.65599999999995</v>
      </c>
      <c r="J25" s="309">
        <f t="shared" si="4"/>
        <v>144.39999999999998</v>
      </c>
    </row>
    <row r="26" spans="2:10" ht="12.75">
      <c r="B26" s="115">
        <f t="shared" si="7"/>
        <v>175</v>
      </c>
      <c r="C26" s="310">
        <f>C25+0.01</f>
        <v>0.26999999999999996</v>
      </c>
      <c r="D26" s="311">
        <f t="shared" si="5"/>
        <v>47.24999999999999</v>
      </c>
      <c r="E26" s="312">
        <f t="shared" si="0"/>
        <v>156.86999999999998</v>
      </c>
      <c r="F26" s="313">
        <f t="shared" si="6"/>
        <v>0.73</v>
      </c>
      <c r="G26" s="314">
        <f t="shared" si="1"/>
        <v>127.75</v>
      </c>
      <c r="H26" s="315">
        <f t="shared" si="2"/>
        <v>424.13</v>
      </c>
      <c r="I26" s="316">
        <f t="shared" si="3"/>
        <v>124.13</v>
      </c>
      <c r="J26" s="317">
        <f t="shared" si="4"/>
        <v>161</v>
      </c>
    </row>
    <row r="27" spans="2:10" ht="13.5" thickBot="1">
      <c r="B27" s="318">
        <f t="shared" si="7"/>
        <v>180</v>
      </c>
      <c r="C27" s="319">
        <f>C26+0.01</f>
        <v>0.27999999999999997</v>
      </c>
      <c r="D27" s="320">
        <f t="shared" si="5"/>
        <v>50.39999999999999</v>
      </c>
      <c r="E27" s="321">
        <f t="shared" si="0"/>
        <v>167.32799999999997</v>
      </c>
      <c r="F27" s="322">
        <f t="shared" si="6"/>
        <v>0.72</v>
      </c>
      <c r="G27" s="323">
        <f t="shared" si="1"/>
        <v>129.6</v>
      </c>
      <c r="H27" s="324">
        <f t="shared" si="2"/>
        <v>430.27199999999993</v>
      </c>
      <c r="I27" s="325">
        <f t="shared" si="3"/>
        <v>130.27199999999993</v>
      </c>
      <c r="J27" s="326">
        <f t="shared" si="4"/>
        <v>177.60000000000002</v>
      </c>
    </row>
    <row r="28" spans="2:10" ht="12.75">
      <c r="B28" s="432" t="s">
        <v>271</v>
      </c>
      <c r="C28" s="448"/>
      <c r="D28" s="449"/>
      <c r="E28" s="448"/>
      <c r="F28" s="448"/>
      <c r="G28" s="449"/>
      <c r="H28" s="448"/>
      <c r="I28" s="448"/>
      <c r="J28" s="448"/>
    </row>
    <row r="29" spans="2:10" ht="12.75">
      <c r="B29" s="513" t="s">
        <v>290</v>
      </c>
      <c r="C29" s="448"/>
      <c r="D29" s="449"/>
      <c r="E29" s="448"/>
      <c r="F29" s="448"/>
      <c r="G29" s="449"/>
      <c r="H29" s="448"/>
      <c r="I29" s="448"/>
      <c r="J29" s="448"/>
    </row>
    <row r="30" spans="2:10" ht="11.25">
      <c r="B30" s="448" t="s">
        <v>291</v>
      </c>
      <c r="C30" s="448"/>
      <c r="D30" s="449"/>
      <c r="E30" s="448"/>
      <c r="F30" s="448"/>
      <c r="G30" s="449"/>
      <c r="H30" s="448"/>
      <c r="I30" s="448"/>
      <c r="J30" s="448"/>
    </row>
    <row r="31" spans="2:10" ht="12.75">
      <c r="B31" s="432" t="s">
        <v>276</v>
      </c>
      <c r="C31" s="448"/>
      <c r="D31" s="449"/>
      <c r="E31" s="448"/>
      <c r="F31" s="448"/>
      <c r="G31" s="449"/>
      <c r="H31" s="448"/>
      <c r="I31" s="448"/>
      <c r="J31" s="448"/>
    </row>
    <row r="32" spans="2:10" ht="12.75">
      <c r="B32" s="432" t="s">
        <v>280</v>
      </c>
      <c r="C32" s="448"/>
      <c r="D32" s="449"/>
      <c r="E32" s="448"/>
      <c r="F32" s="448"/>
      <c r="G32" s="449"/>
      <c r="H32" s="448"/>
      <c r="I32" s="448"/>
      <c r="J32" s="448"/>
    </row>
  </sheetData>
  <sheetProtection/>
  <printOptions gridLines="1"/>
  <pageMargins left="0.27" right="0.3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74"/>
  <sheetViews>
    <sheetView zoomScale="80" zoomScaleNormal="80" zoomScalePageLayoutView="0" workbookViewId="0" topLeftCell="A4">
      <selection activeCell="B25" sqref="B25"/>
    </sheetView>
  </sheetViews>
  <sheetFormatPr defaultColWidth="9.00390625" defaultRowHeight="15"/>
  <cols>
    <col min="1" max="1" width="6.25390625" style="0" customWidth="1"/>
    <col min="2" max="2" width="45.50390625" style="0" customWidth="1"/>
    <col min="3" max="3" width="10.25390625" style="0" customWidth="1"/>
    <col min="4" max="4" width="4.25390625" style="0" customWidth="1"/>
    <col min="5" max="5" width="8.375" style="0" bestFit="1" customWidth="1"/>
    <col min="6" max="6" width="8.00390625" style="0" customWidth="1"/>
    <col min="7" max="7" width="10.375" style="0" customWidth="1"/>
    <col min="8" max="8" width="3.75390625" style="0" customWidth="1"/>
  </cols>
  <sheetData>
    <row r="1" ht="9" customHeight="1"/>
    <row r="2" spans="2:8" ht="27.75">
      <c r="B2" s="211" t="s">
        <v>205</v>
      </c>
      <c r="C2" s="284"/>
      <c r="D2" s="55"/>
      <c r="E2" s="55"/>
      <c r="F2" s="55"/>
      <c r="G2" s="55"/>
      <c r="H2" s="55"/>
    </row>
    <row r="3" spans="2:8" ht="15.75">
      <c r="B3" s="281" t="s">
        <v>249</v>
      </c>
      <c r="C3" s="106"/>
      <c r="D3" s="106"/>
      <c r="E3" s="106"/>
      <c r="F3" s="106"/>
      <c r="G3" s="106"/>
      <c r="H3" s="109"/>
    </row>
    <row r="4" spans="2:9" ht="51">
      <c r="B4" s="27"/>
      <c r="C4" s="488" t="s">
        <v>150</v>
      </c>
      <c r="D4" s="28"/>
      <c r="E4" s="121"/>
      <c r="F4" s="418" t="s">
        <v>206</v>
      </c>
      <c r="G4" s="24" t="s">
        <v>207</v>
      </c>
      <c r="H4" s="28"/>
      <c r="I4" s="30"/>
    </row>
    <row r="5" spans="2:8" ht="15.75">
      <c r="B5" s="51" t="s">
        <v>41</v>
      </c>
      <c r="C5" s="70">
        <v>100</v>
      </c>
      <c r="D5" s="52"/>
      <c r="E5" s="52"/>
      <c r="F5" s="52"/>
      <c r="H5" s="12"/>
    </row>
    <row r="6" spans="2:8" ht="15.75">
      <c r="B6" s="51" t="s">
        <v>208</v>
      </c>
      <c r="C6" s="415">
        <v>900</v>
      </c>
      <c r="D6" s="52"/>
      <c r="E6" s="52"/>
      <c r="F6" s="52"/>
      <c r="G6" s="119"/>
      <c r="H6" s="12"/>
    </row>
    <row r="7" spans="2:8" ht="26.25">
      <c r="B7" s="489" t="s">
        <v>209</v>
      </c>
      <c r="C7" s="501">
        <f>C5*C6</f>
        <v>90000</v>
      </c>
      <c r="D7" s="108"/>
      <c r="E7" s="108"/>
      <c r="F7" s="108"/>
      <c r="G7" s="107"/>
      <c r="H7" s="14" t="s">
        <v>2</v>
      </c>
    </row>
    <row r="8" spans="2:8" ht="15.75">
      <c r="B8" s="28" t="s">
        <v>210</v>
      </c>
      <c r="C8" s="413">
        <v>0.03</v>
      </c>
      <c r="D8" s="14" t="s">
        <v>29</v>
      </c>
      <c r="E8" s="130">
        <f>C7</f>
        <v>90000</v>
      </c>
      <c r="F8" s="492">
        <f>C8*$C$6</f>
        <v>27</v>
      </c>
      <c r="G8" s="500">
        <f>C8*$C$7</f>
        <v>2700</v>
      </c>
      <c r="H8" s="14"/>
    </row>
    <row r="9" spans="2:8" ht="26.25">
      <c r="B9" s="490" t="s">
        <v>211</v>
      </c>
      <c r="C9" s="413">
        <v>0.01</v>
      </c>
      <c r="D9" s="14" t="s">
        <v>29</v>
      </c>
      <c r="E9" s="130">
        <f>C7</f>
        <v>90000</v>
      </c>
      <c r="F9" s="492">
        <f>C9*$C$6</f>
        <v>9</v>
      </c>
      <c r="G9" s="500">
        <f>C9*$C$7</f>
        <v>900</v>
      </c>
      <c r="H9" s="14"/>
    </row>
    <row r="10" spans="2:8" ht="15.75">
      <c r="B10" s="28" t="s">
        <v>212</v>
      </c>
      <c r="C10" s="13">
        <v>0</v>
      </c>
      <c r="D10" s="14" t="s">
        <v>29</v>
      </c>
      <c r="E10" s="425"/>
      <c r="F10" s="492">
        <f>G10/$C$5</f>
        <v>0</v>
      </c>
      <c r="G10" s="500">
        <f>C10*$C$5</f>
        <v>0</v>
      </c>
      <c r="H10" s="14"/>
    </row>
    <row r="11" spans="2:8" ht="15.75">
      <c r="B11" s="111" t="s">
        <v>213</v>
      </c>
      <c r="C11" s="108"/>
      <c r="D11" s="112"/>
      <c r="E11" s="108"/>
      <c r="F11" s="108"/>
      <c r="G11" s="107"/>
      <c r="H11" s="121"/>
    </row>
    <row r="12" spans="2:8" ht="15.75">
      <c r="B12" s="118" t="s">
        <v>214</v>
      </c>
      <c r="C12" s="415">
        <v>3000</v>
      </c>
      <c r="D12" s="150"/>
      <c r="E12" s="119"/>
      <c r="F12" s="119"/>
      <c r="G12" s="28"/>
      <c r="H12" s="14"/>
    </row>
    <row r="13" spans="2:8" ht="15.75">
      <c r="B13" s="118" t="s">
        <v>215</v>
      </c>
      <c r="C13" s="415">
        <v>1000</v>
      </c>
      <c r="D13" s="150"/>
      <c r="E13" s="119"/>
      <c r="F13" s="119"/>
      <c r="G13" s="28"/>
      <c r="H13" s="14"/>
    </row>
    <row r="14" spans="2:8" ht="15.75">
      <c r="B14" s="118" t="s">
        <v>216</v>
      </c>
      <c r="C14" s="415">
        <v>0</v>
      </c>
      <c r="D14" s="150"/>
      <c r="E14" s="119"/>
      <c r="F14" s="119"/>
      <c r="G14" s="28"/>
      <c r="H14" s="14"/>
    </row>
    <row r="15" spans="2:8" ht="15.75">
      <c r="B15" s="120" t="s">
        <v>35</v>
      </c>
      <c r="C15" s="131">
        <f>SUM(C12:C14)</f>
        <v>4000</v>
      </c>
      <c r="D15" s="150"/>
      <c r="E15" s="119"/>
      <c r="F15" s="119"/>
      <c r="G15" s="28"/>
      <c r="H15" s="14"/>
    </row>
    <row r="16" spans="2:8" ht="15.75">
      <c r="B16" s="53" t="s">
        <v>217</v>
      </c>
      <c r="C16" s="70">
        <v>25</v>
      </c>
      <c r="D16" s="419" t="s">
        <v>292</v>
      </c>
      <c r="E16" s="130">
        <f>C15</f>
        <v>4000</v>
      </c>
      <c r="F16" s="492">
        <f>G16/$C$5</f>
        <v>1.6</v>
      </c>
      <c r="G16" s="500">
        <f>C15/C16</f>
        <v>160</v>
      </c>
      <c r="H16" s="14"/>
    </row>
    <row r="17" spans="2:8" ht="15.75">
      <c r="B17" s="53" t="s">
        <v>218</v>
      </c>
      <c r="C17" s="413">
        <v>0.035</v>
      </c>
      <c r="D17" s="14" t="s">
        <v>29</v>
      </c>
      <c r="E17" s="130">
        <f>C15</f>
        <v>4000</v>
      </c>
      <c r="F17" s="492">
        <f>G17/$C$5</f>
        <v>1.4</v>
      </c>
      <c r="G17" s="500">
        <f>C17*C15</f>
        <v>140</v>
      </c>
      <c r="H17" s="14"/>
    </row>
    <row r="18" spans="2:8" ht="15.75">
      <c r="B18" s="53" t="s">
        <v>219</v>
      </c>
      <c r="C18" s="413">
        <v>0.02</v>
      </c>
      <c r="D18" s="14" t="s">
        <v>29</v>
      </c>
      <c r="E18" s="130">
        <f>C15</f>
        <v>4000</v>
      </c>
      <c r="F18" s="492">
        <f>G18/$C$5</f>
        <v>0.8</v>
      </c>
      <c r="G18" s="500">
        <f>C18*C15</f>
        <v>80</v>
      </c>
      <c r="H18" s="14"/>
    </row>
    <row r="19" spans="2:8" ht="15.75">
      <c r="B19" s="53" t="s">
        <v>220</v>
      </c>
      <c r="C19" s="414">
        <v>0.0025</v>
      </c>
      <c r="D19" s="14" t="s">
        <v>29</v>
      </c>
      <c r="E19" s="130">
        <f>C15</f>
        <v>4000</v>
      </c>
      <c r="F19" s="492">
        <f>G19/$C$5</f>
        <v>0.1</v>
      </c>
      <c r="G19" s="500">
        <f>C19*C15</f>
        <v>10</v>
      </c>
      <c r="H19" s="14"/>
    </row>
    <row r="20" spans="2:8" ht="15.75">
      <c r="B20" s="420" t="s">
        <v>179</v>
      </c>
      <c r="C20" s="421"/>
      <c r="D20" s="116"/>
      <c r="E20" s="422"/>
      <c r="F20" s="423"/>
      <c r="G20" s="423"/>
      <c r="H20" s="116"/>
    </row>
    <row r="21" spans="2:8" ht="15.75">
      <c r="B21" s="28" t="s">
        <v>221</v>
      </c>
      <c r="C21" s="502">
        <v>9</v>
      </c>
      <c r="D21" s="71"/>
      <c r="E21" s="71"/>
      <c r="F21" s="424"/>
      <c r="H21" s="14" t="s">
        <v>3</v>
      </c>
    </row>
    <row r="22" spans="2:8" ht="15.75">
      <c r="B22" s="28" t="s">
        <v>222</v>
      </c>
      <c r="C22" s="70">
        <v>0.25</v>
      </c>
      <c r="D22" s="70"/>
      <c r="E22" s="70"/>
      <c r="F22" s="492">
        <f>G22/$C$5</f>
        <v>2.25</v>
      </c>
      <c r="G22" s="499">
        <f>C22*C21*C5</f>
        <v>225</v>
      </c>
      <c r="H22" s="14" t="s">
        <v>4</v>
      </c>
    </row>
    <row r="23" spans="2:8" ht="15.75">
      <c r="B23" s="28" t="s">
        <v>223</v>
      </c>
      <c r="C23" s="72">
        <v>0.01</v>
      </c>
      <c r="D23" s="72"/>
      <c r="E23" s="72"/>
      <c r="F23" s="492">
        <f>G23/$C$5</f>
        <v>9.4</v>
      </c>
      <c r="G23" s="499">
        <f>(C7+C15)*C23</f>
        <v>940</v>
      </c>
      <c r="H23" s="14"/>
    </row>
    <row r="24" spans="2:8" ht="15.75">
      <c r="B24" s="111" t="s">
        <v>224</v>
      </c>
      <c r="C24" s="127"/>
      <c r="D24" s="127"/>
      <c r="E24" s="127"/>
      <c r="F24" s="496">
        <f>G24/$C$5</f>
        <v>51.55</v>
      </c>
      <c r="G24" s="496">
        <f>SUM(G8:G23)</f>
        <v>5155</v>
      </c>
      <c r="H24" s="14" t="s">
        <v>5</v>
      </c>
    </row>
    <row r="25" spans="2:8" ht="15.75">
      <c r="B25" s="12" t="s">
        <v>296</v>
      </c>
      <c r="C25" s="128">
        <v>2.5</v>
      </c>
      <c r="D25" s="72"/>
      <c r="E25" s="72"/>
      <c r="F25" s="72"/>
      <c r="G25" s="54"/>
      <c r="H25" s="129" t="s">
        <v>6</v>
      </c>
    </row>
    <row r="26" spans="2:8" ht="15.75">
      <c r="B26" s="111" t="s">
        <v>226</v>
      </c>
      <c r="C26" s="127"/>
      <c r="D26" s="127"/>
      <c r="E26" s="127"/>
      <c r="F26" s="127"/>
      <c r="G26" s="496">
        <f>F24*C25</f>
        <v>128.875</v>
      </c>
      <c r="H26" s="129" t="s">
        <v>7</v>
      </c>
    </row>
    <row r="28" spans="2:8" ht="15.75">
      <c r="B28" s="210" t="s">
        <v>250</v>
      </c>
      <c r="C28" s="125"/>
      <c r="D28" s="125"/>
      <c r="E28" s="125"/>
      <c r="F28" s="125"/>
      <c r="G28" s="125"/>
      <c r="H28" s="126"/>
    </row>
    <row r="29" spans="2:8" ht="15.75">
      <c r="B29" s="10" t="s">
        <v>227</v>
      </c>
      <c r="C29" s="14"/>
      <c r="D29" s="14"/>
      <c r="E29" s="10"/>
      <c r="F29" s="10"/>
      <c r="G29" s="121"/>
      <c r="H29" s="14"/>
    </row>
    <row r="30" spans="2:8" ht="15.75">
      <c r="B30" s="12" t="s">
        <v>228</v>
      </c>
      <c r="C30" s="13">
        <v>650</v>
      </c>
      <c r="D30" s="14"/>
      <c r="E30" s="10"/>
      <c r="F30" s="10"/>
      <c r="G30" s="121"/>
      <c r="H30" s="14"/>
    </row>
    <row r="31" spans="2:8" ht="15.75">
      <c r="B31" s="12" t="s">
        <v>229</v>
      </c>
      <c r="C31" s="498">
        <v>1.4</v>
      </c>
      <c r="D31" s="14"/>
      <c r="E31" s="10"/>
      <c r="F31" s="10"/>
      <c r="G31" s="121"/>
      <c r="H31" s="14"/>
    </row>
    <row r="32" spans="2:8" ht="15.75">
      <c r="B32" s="12" t="s">
        <v>230</v>
      </c>
      <c r="C32" s="427">
        <f>C31*C30</f>
        <v>909.9999999999999</v>
      </c>
      <c r="D32" s="14"/>
      <c r="E32" s="121"/>
      <c r="F32" s="121"/>
      <c r="G32" s="121"/>
      <c r="H32" s="14" t="s">
        <v>2</v>
      </c>
    </row>
    <row r="33" spans="2:8" ht="15.75">
      <c r="B33" s="10" t="s">
        <v>231</v>
      </c>
      <c r="C33" s="416"/>
      <c r="D33" s="14"/>
      <c r="E33" s="12"/>
      <c r="F33" s="12"/>
      <c r="G33" s="132"/>
      <c r="H33" s="121"/>
    </row>
    <row r="34" spans="2:8" ht="15.75">
      <c r="B34" s="135" t="s">
        <v>232</v>
      </c>
      <c r="C34" s="417">
        <v>0.04</v>
      </c>
      <c r="D34" s="14" t="s">
        <v>0</v>
      </c>
      <c r="E34" s="492">
        <f>$C$32</f>
        <v>909.9999999999999</v>
      </c>
      <c r="F34" s="133"/>
      <c r="G34" s="492">
        <f>E34*C34</f>
        <v>36.4</v>
      </c>
      <c r="H34" s="14"/>
    </row>
    <row r="35" spans="2:8" ht="15.75">
      <c r="B35" s="135" t="s">
        <v>233</v>
      </c>
      <c r="C35" s="417">
        <v>0.03</v>
      </c>
      <c r="D35" s="14" t="s">
        <v>0</v>
      </c>
      <c r="E35" s="492">
        <f>$C$32</f>
        <v>909.9999999999999</v>
      </c>
      <c r="F35" s="133"/>
      <c r="G35" s="492">
        <f>E35*C35</f>
        <v>27.299999999999997</v>
      </c>
      <c r="H35" s="14"/>
    </row>
    <row r="36" spans="2:8" ht="15.75">
      <c r="B36" s="135" t="s">
        <v>234</v>
      </c>
      <c r="C36" s="417">
        <v>0.02</v>
      </c>
      <c r="D36" s="14" t="s">
        <v>0</v>
      </c>
      <c r="E36" s="492">
        <f>$C$32</f>
        <v>909.9999999999999</v>
      </c>
      <c r="F36" s="133"/>
      <c r="G36" s="492">
        <f>E36*C36</f>
        <v>18.2</v>
      </c>
      <c r="H36" s="14"/>
    </row>
    <row r="37" spans="2:8" ht="15.75">
      <c r="B37" s="135" t="s">
        <v>235</v>
      </c>
      <c r="C37" s="417">
        <v>0.01</v>
      </c>
      <c r="D37" s="14" t="s">
        <v>0</v>
      </c>
      <c r="E37" s="492">
        <f>$C$32</f>
        <v>909.9999999999999</v>
      </c>
      <c r="F37" s="133"/>
      <c r="G37" s="492">
        <f>E37*C37</f>
        <v>9.1</v>
      </c>
      <c r="H37" s="14"/>
    </row>
    <row r="38" spans="2:8" ht="15.75">
      <c r="B38" s="111" t="s">
        <v>236</v>
      </c>
      <c r="C38" s="111"/>
      <c r="D38" s="116"/>
      <c r="E38" s="111"/>
      <c r="F38" s="111"/>
      <c r="G38" s="493">
        <f>SUM(G34:G37)</f>
        <v>90.99999999999999</v>
      </c>
      <c r="H38" s="14" t="s">
        <v>3</v>
      </c>
    </row>
    <row r="39" spans="2:8" ht="15.75">
      <c r="B39" s="10" t="s">
        <v>237</v>
      </c>
      <c r="C39" s="121"/>
      <c r="D39" s="14"/>
      <c r="E39" s="12"/>
      <c r="F39" s="12"/>
      <c r="G39" s="495">
        <v>0</v>
      </c>
      <c r="H39" s="14" t="s">
        <v>4</v>
      </c>
    </row>
    <row r="40" spans="2:8" ht="15.75">
      <c r="B40" s="10" t="s">
        <v>179</v>
      </c>
      <c r="C40" s="14" t="s">
        <v>37</v>
      </c>
      <c r="D40" s="14"/>
      <c r="E40" s="14" t="s">
        <v>38</v>
      </c>
      <c r="F40" s="14"/>
      <c r="G40" s="132"/>
      <c r="H40" s="121"/>
    </row>
    <row r="41" spans="2:8" ht="15.75">
      <c r="B41" s="135" t="s">
        <v>238</v>
      </c>
      <c r="C41" s="123">
        <v>0.5</v>
      </c>
      <c r="D41" s="14"/>
      <c r="E41" s="14"/>
      <c r="F41" s="14"/>
      <c r="G41" s="132"/>
      <c r="H41" s="14"/>
    </row>
    <row r="42" spans="2:8" ht="15.75">
      <c r="B42" s="135" t="s">
        <v>239</v>
      </c>
      <c r="C42" s="495">
        <v>15</v>
      </c>
      <c r="D42" s="14"/>
      <c r="E42" s="121"/>
      <c r="F42" s="121"/>
      <c r="G42" s="492">
        <f>C42*C41</f>
        <v>7.5</v>
      </c>
      <c r="H42" s="14"/>
    </row>
    <row r="43" spans="2:8" ht="15.75">
      <c r="B43" s="135" t="s">
        <v>240</v>
      </c>
      <c r="C43" s="134">
        <v>0.01</v>
      </c>
      <c r="D43" s="14" t="s">
        <v>0</v>
      </c>
      <c r="E43" s="492">
        <f>C32</f>
        <v>909.9999999999999</v>
      </c>
      <c r="F43" s="133"/>
      <c r="G43" s="492">
        <f>E43*C43</f>
        <v>9.1</v>
      </c>
      <c r="H43" s="14"/>
    </row>
    <row r="44" spans="2:8" ht="15.75">
      <c r="B44" s="27" t="s">
        <v>241</v>
      </c>
      <c r="C44" s="27"/>
      <c r="D44" s="27"/>
      <c r="E44" s="27"/>
      <c r="F44" s="27"/>
      <c r="G44" s="497">
        <f>G43+G42</f>
        <v>16.6</v>
      </c>
      <c r="H44" s="14" t="s">
        <v>5</v>
      </c>
    </row>
    <row r="45" spans="2:8" ht="15.75">
      <c r="B45" s="111" t="s">
        <v>242</v>
      </c>
      <c r="C45" s="111"/>
      <c r="D45" s="111"/>
      <c r="E45" s="111"/>
      <c r="F45" s="111"/>
      <c r="G45" s="496">
        <f>G38+G39+G44</f>
        <v>107.6</v>
      </c>
      <c r="H45" s="14" t="s">
        <v>6</v>
      </c>
    </row>
    <row r="46" spans="2:8" ht="15.75">
      <c r="B46" s="20" t="s">
        <v>243</v>
      </c>
      <c r="C46" s="20"/>
      <c r="D46" s="20"/>
      <c r="E46" s="20"/>
      <c r="F46" s="20"/>
      <c r="G46" s="428">
        <f>C32+G38+G44+G39</f>
        <v>1017.5999999999999</v>
      </c>
      <c r="H46" s="14" t="s">
        <v>7</v>
      </c>
    </row>
    <row r="47" spans="2:8" ht="15.75">
      <c r="B47" s="10" t="s">
        <v>244</v>
      </c>
      <c r="C47" s="14"/>
      <c r="D47" s="14"/>
      <c r="E47" s="14"/>
      <c r="F47" s="14"/>
      <c r="G47" s="121"/>
      <c r="H47" s="14"/>
    </row>
    <row r="48" spans="2:8" ht="15.75">
      <c r="B48" s="12" t="s">
        <v>245</v>
      </c>
      <c r="C48" s="62">
        <v>855</v>
      </c>
      <c r="D48" s="14"/>
      <c r="E48" s="14"/>
      <c r="F48" s="14"/>
      <c r="G48" s="121"/>
      <c r="H48" s="14"/>
    </row>
    <row r="49" spans="2:8" ht="15.75">
      <c r="B49" s="12" t="s">
        <v>246</v>
      </c>
      <c r="C49" s="495">
        <v>1.2</v>
      </c>
      <c r="D49" s="121"/>
      <c r="F49" s="122"/>
      <c r="G49" s="492">
        <f>C49*C48</f>
        <v>1026</v>
      </c>
      <c r="H49" s="14" t="s">
        <v>12</v>
      </c>
    </row>
    <row r="50" spans="2:8" ht="15.75">
      <c r="B50" s="20" t="s">
        <v>247</v>
      </c>
      <c r="C50" s="20"/>
      <c r="D50" s="20"/>
      <c r="E50" s="20"/>
      <c r="F50" s="20"/>
      <c r="G50" s="428">
        <f>G49-G46</f>
        <v>8.400000000000091</v>
      </c>
      <c r="H50" s="14" t="s">
        <v>13</v>
      </c>
    </row>
    <row r="51" spans="2:8" ht="15.75">
      <c r="B51" s="12" t="s">
        <v>225</v>
      </c>
      <c r="C51" s="426">
        <f>C25</f>
        <v>2.5</v>
      </c>
      <c r="D51" s="12"/>
      <c r="E51" s="121"/>
      <c r="F51" s="121"/>
      <c r="G51" s="121"/>
      <c r="H51" s="14" t="s">
        <v>14</v>
      </c>
    </row>
    <row r="52" spans="2:8" ht="15.75">
      <c r="B52" s="124" t="s">
        <v>248</v>
      </c>
      <c r="C52" s="124"/>
      <c r="D52" s="124"/>
      <c r="E52" s="124"/>
      <c r="F52" s="124"/>
      <c r="G52" s="494">
        <f>G50/C51</f>
        <v>3.3600000000000363</v>
      </c>
      <c r="H52" s="14" t="s">
        <v>15</v>
      </c>
    </row>
    <row r="53" ht="15.75">
      <c r="B53" s="6"/>
    </row>
    <row r="54" spans="2:8" ht="20.25">
      <c r="B54" s="206" t="s">
        <v>251</v>
      </c>
      <c r="C54" s="140"/>
      <c r="D54" s="140"/>
      <c r="E54" s="140"/>
      <c r="F54" s="140"/>
      <c r="G54" s="140"/>
      <c r="H54" s="141"/>
    </row>
    <row r="55" spans="2:8" ht="15.75">
      <c r="B55" s="23" t="s">
        <v>252</v>
      </c>
      <c r="C55" s="136"/>
      <c r="D55" s="136"/>
      <c r="E55" s="137"/>
      <c r="F55" s="137"/>
      <c r="G55" s="491">
        <f>G26</f>
        <v>128.875</v>
      </c>
      <c r="H55" s="121"/>
    </row>
    <row r="56" spans="2:8" ht="15.75">
      <c r="B56" s="138" t="s">
        <v>253</v>
      </c>
      <c r="C56" s="136"/>
      <c r="D56" s="136"/>
      <c r="E56" s="137"/>
      <c r="F56" s="137"/>
      <c r="G56" s="491">
        <f>G45</f>
        <v>107.6</v>
      </c>
      <c r="H56" s="149"/>
    </row>
    <row r="57" spans="2:8" ht="15.75">
      <c r="B57" s="23" t="s">
        <v>254</v>
      </c>
      <c r="C57" s="136"/>
      <c r="D57" s="136"/>
      <c r="E57" s="137"/>
      <c r="F57" s="137"/>
      <c r="G57" s="491">
        <f>G55+G56</f>
        <v>236.475</v>
      </c>
      <c r="H57" s="149"/>
    </row>
    <row r="58" spans="2:8" ht="15.75">
      <c r="B58" s="23" t="s">
        <v>255</v>
      </c>
      <c r="C58" s="136"/>
      <c r="D58" s="136"/>
      <c r="E58" s="137"/>
      <c r="F58" s="137"/>
      <c r="G58" s="139">
        <f>G55/G57</f>
        <v>0.5449836134897981</v>
      </c>
      <c r="H58" s="14" t="s">
        <v>2</v>
      </c>
    </row>
    <row r="59" spans="2:8" ht="15.75">
      <c r="B59" s="138" t="s">
        <v>256</v>
      </c>
      <c r="C59" s="136"/>
      <c r="D59" s="136"/>
      <c r="E59" s="137"/>
      <c r="F59" s="137"/>
      <c r="G59" s="139">
        <f>G56/G57</f>
        <v>0.45501638651020193</v>
      </c>
      <c r="H59" s="14" t="s">
        <v>3</v>
      </c>
    </row>
    <row r="60" spans="2:8" ht="15.75">
      <c r="B60" s="142" t="s">
        <v>257</v>
      </c>
      <c r="C60" s="136"/>
      <c r="D60" s="136"/>
      <c r="E60" s="137"/>
      <c r="F60" s="137"/>
      <c r="G60" s="121"/>
      <c r="H60" s="149"/>
    </row>
    <row r="61" spans="2:8" ht="15.75">
      <c r="B61" s="138" t="s">
        <v>258</v>
      </c>
      <c r="C61" s="136"/>
      <c r="D61" s="136"/>
      <c r="E61" s="137"/>
      <c r="F61" s="137"/>
      <c r="G61" s="491">
        <f>G49</f>
        <v>1026</v>
      </c>
      <c r="H61" s="14"/>
    </row>
    <row r="62" spans="2:8" ht="15.75">
      <c r="B62" s="138" t="s">
        <v>259</v>
      </c>
      <c r="C62" s="136"/>
      <c r="D62" s="136"/>
      <c r="E62" s="137"/>
      <c r="F62" s="137"/>
      <c r="G62" s="491">
        <f>C32</f>
        <v>909.9999999999999</v>
      </c>
      <c r="H62" s="14"/>
    </row>
    <row r="63" spans="2:8" ht="15.75">
      <c r="B63" s="23" t="s">
        <v>260</v>
      </c>
      <c r="C63" s="136"/>
      <c r="D63" s="136"/>
      <c r="E63" s="137"/>
      <c r="F63" s="137"/>
      <c r="G63" s="492">
        <f>G61-G62</f>
        <v>116.00000000000011</v>
      </c>
      <c r="H63" s="14" t="s">
        <v>4</v>
      </c>
    </row>
    <row r="64" spans="2:8" ht="15.75">
      <c r="B64" s="143" t="s">
        <v>261</v>
      </c>
      <c r="C64" s="144"/>
      <c r="D64" s="144"/>
      <c r="E64" s="145"/>
      <c r="F64" s="145"/>
      <c r="G64" s="493">
        <f>G63*G58</f>
        <v>63.218099164816635</v>
      </c>
      <c r="H64" s="12"/>
    </row>
    <row r="65" spans="2:8" ht="15.75">
      <c r="B65" s="146" t="s">
        <v>262</v>
      </c>
      <c r="C65" s="147"/>
      <c r="D65" s="147"/>
      <c r="E65" s="148"/>
      <c r="F65" s="148"/>
      <c r="G65" s="493">
        <f>G63*G59</f>
        <v>52.78190083518348</v>
      </c>
      <c r="H65" s="12"/>
    </row>
    <row r="66" ht="15.75">
      <c r="B66" s="6"/>
    </row>
    <row r="67" ht="15.75">
      <c r="B67" s="6"/>
    </row>
    <row r="68" ht="15.75">
      <c r="B68" s="6"/>
    </row>
    <row r="69" ht="15.75">
      <c r="B69" s="6"/>
    </row>
    <row r="70" ht="15.75">
      <c r="B70" s="117"/>
    </row>
    <row r="71" ht="15.75">
      <c r="B71" s="6"/>
    </row>
    <row r="72" ht="15.75">
      <c r="B72" s="6"/>
    </row>
    <row r="73" ht="15.75">
      <c r="B73" s="6"/>
    </row>
    <row r="74" ht="15.75">
      <c r="B74" s="6"/>
    </row>
  </sheetData>
  <sheetProtection/>
  <conditionalFormatting sqref="G50">
    <cfRule type="cellIs" priority="1" dxfId="11" operator="lessThan" stopIfTrue="1">
      <formula>0</formula>
    </cfRule>
  </conditionalFormatting>
  <printOptions/>
  <pageMargins left="0.44" right="0.2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49"/>
  <sheetViews>
    <sheetView zoomScale="80" zoomScaleNormal="80" zoomScalePageLayoutView="0" workbookViewId="0" topLeftCell="A1">
      <selection activeCell="L58" sqref="L58"/>
    </sheetView>
  </sheetViews>
  <sheetFormatPr defaultColWidth="8.75390625" defaultRowHeight="15"/>
  <cols>
    <col min="1" max="1" width="2.75390625" style="6" customWidth="1"/>
    <col min="2" max="2" width="35.00390625" style="6" customWidth="1"/>
    <col min="3" max="3" width="9.625" style="6" customWidth="1"/>
    <col min="4" max="4" width="10.00390625" style="6" customWidth="1"/>
    <col min="5" max="5" width="9.25390625" style="6" customWidth="1"/>
    <col min="6" max="6" width="9.875" style="6" customWidth="1"/>
    <col min="7" max="7" width="10.50390625" style="6" customWidth="1"/>
    <col min="8" max="8" width="9.50390625" style="6" customWidth="1"/>
    <col min="9" max="9" width="12.00390625" style="6" customWidth="1"/>
    <col min="10" max="11" width="8.75390625" style="6" customWidth="1"/>
    <col min="12" max="12" width="10.875" style="6" customWidth="1"/>
    <col min="13" max="13" width="8.75390625" style="6" customWidth="1"/>
    <col min="14" max="14" width="10.75390625" style="6" customWidth="1"/>
    <col min="15" max="16384" width="8.75390625" style="6" customWidth="1"/>
  </cols>
  <sheetData>
    <row r="2" spans="2:9" ht="24" customHeight="1">
      <c r="B2" s="283" t="s">
        <v>194</v>
      </c>
      <c r="C2" s="204"/>
      <c r="D2" s="204"/>
      <c r="E2" s="204"/>
      <c r="F2" s="204"/>
      <c r="G2" s="204"/>
      <c r="H2" s="204"/>
      <c r="I2" s="205"/>
    </row>
    <row r="3" spans="2:9" ht="15.75">
      <c r="B3" s="281" t="s">
        <v>148</v>
      </c>
      <c r="C3" s="106"/>
      <c r="D3" s="106"/>
      <c r="E3" s="106"/>
      <c r="F3" s="106"/>
      <c r="G3" s="106"/>
      <c r="H3" s="106"/>
      <c r="I3" s="216"/>
    </row>
    <row r="4" spans="2:9" ht="51" customHeight="1">
      <c r="B4" s="217"/>
      <c r="C4" s="98"/>
      <c r="D4" s="97" t="s">
        <v>149</v>
      </c>
      <c r="E4" s="97" t="s">
        <v>150</v>
      </c>
      <c r="F4" s="97" t="s">
        <v>151</v>
      </c>
      <c r="G4" s="97" t="s">
        <v>152</v>
      </c>
      <c r="H4" s="218" t="s">
        <v>153</v>
      </c>
      <c r="I4" s="219" t="s">
        <v>154</v>
      </c>
    </row>
    <row r="5" spans="2:9" ht="12.75">
      <c r="B5" s="457" t="s">
        <v>41</v>
      </c>
      <c r="C5" s="26">
        <f>G16</f>
        <v>90</v>
      </c>
      <c r="D5" s="26"/>
      <c r="E5" s="26"/>
      <c r="F5" s="26"/>
      <c r="G5" s="26"/>
      <c r="H5" s="220"/>
      <c r="I5" s="221"/>
    </row>
    <row r="6" spans="2:9" ht="51">
      <c r="B6" s="222" t="s">
        <v>155</v>
      </c>
      <c r="C6" s="113"/>
      <c r="D6" s="223">
        <v>1800</v>
      </c>
      <c r="E6" s="224">
        <v>0.04</v>
      </c>
      <c r="F6" s="225">
        <f>G6*$C$5</f>
        <v>6480</v>
      </c>
      <c r="G6" s="226">
        <f>E6*$D$6</f>
        <v>72</v>
      </c>
      <c r="H6" s="227"/>
      <c r="I6" s="450">
        <f>G6</f>
        <v>72</v>
      </c>
    </row>
    <row r="7" spans="2:9" ht="25.5">
      <c r="B7" s="222" t="s">
        <v>156</v>
      </c>
      <c r="C7" s="113"/>
      <c r="D7" s="229"/>
      <c r="E7" s="224">
        <v>0.005</v>
      </c>
      <c r="F7" s="225">
        <f>G7*$C$5</f>
        <v>810</v>
      </c>
      <c r="G7" s="226">
        <f>E7*$D$6</f>
        <v>9</v>
      </c>
      <c r="H7" s="227"/>
      <c r="I7" s="450">
        <f>G7</f>
        <v>9</v>
      </c>
    </row>
    <row r="8" spans="2:9" ht="25.5">
      <c r="B8" s="222" t="s">
        <v>157</v>
      </c>
      <c r="C8" s="113"/>
      <c r="D8" s="229">
        <v>0</v>
      </c>
      <c r="E8" s="230">
        <v>10</v>
      </c>
      <c r="F8" s="225">
        <f>G8*$C$5</f>
        <v>0</v>
      </c>
      <c r="G8" s="226">
        <f>D8/E8</f>
        <v>0</v>
      </c>
      <c r="H8" s="454">
        <v>0</v>
      </c>
      <c r="I8" s="450">
        <f>G8</f>
        <v>0</v>
      </c>
    </row>
    <row r="9" spans="2:9" ht="25.5">
      <c r="B9" s="222" t="s">
        <v>158</v>
      </c>
      <c r="C9" s="113"/>
      <c r="D9" s="412">
        <v>0</v>
      </c>
      <c r="E9" s="113"/>
      <c r="F9" s="229"/>
      <c r="G9" s="226"/>
      <c r="H9" s="227"/>
      <c r="I9" s="228"/>
    </row>
    <row r="10" spans="2:9" ht="12.75">
      <c r="B10" s="114" t="s">
        <v>159</v>
      </c>
      <c r="C10" s="113"/>
      <c r="D10" s="113"/>
      <c r="E10" s="231">
        <v>12</v>
      </c>
      <c r="F10" s="226">
        <f>D9/E10</f>
        <v>0</v>
      </c>
      <c r="G10" s="226">
        <f>D9/E10/C5</f>
        <v>0</v>
      </c>
      <c r="H10" s="227"/>
      <c r="I10" s="450">
        <f>G10</f>
        <v>0</v>
      </c>
    </row>
    <row r="11" spans="2:9" ht="12.75">
      <c r="B11" s="114" t="s">
        <v>160</v>
      </c>
      <c r="C11" s="113"/>
      <c r="D11" s="113"/>
      <c r="E11" s="232">
        <v>0.04</v>
      </c>
      <c r="F11" s="226">
        <f>D9*E11</f>
        <v>0</v>
      </c>
      <c r="G11" s="226">
        <f>D9*E11/C5</f>
        <v>0</v>
      </c>
      <c r="H11" s="227"/>
      <c r="I11" s="450">
        <f>G11</f>
        <v>0</v>
      </c>
    </row>
    <row r="12" spans="2:9" ht="12.75">
      <c r="B12" s="114" t="s">
        <v>86</v>
      </c>
      <c r="C12" s="113"/>
      <c r="D12" s="113"/>
      <c r="E12" s="232"/>
      <c r="F12" s="229"/>
      <c r="G12" s="226">
        <v>0</v>
      </c>
      <c r="H12" s="227"/>
      <c r="I12" s="450"/>
    </row>
    <row r="13" spans="2:9" ht="12.75">
      <c r="B13" s="233" t="s">
        <v>35</v>
      </c>
      <c r="C13" s="113"/>
      <c r="D13" s="48"/>
      <c r="E13" s="41"/>
      <c r="F13" s="455">
        <f>SUM(F6:F12)</f>
        <v>7290</v>
      </c>
      <c r="G13" s="455">
        <f>SUM(G6:G12)</f>
        <v>81</v>
      </c>
      <c r="H13" s="453">
        <f>SUM(H6:H12)</f>
        <v>0</v>
      </c>
      <c r="I13" s="451">
        <f>SUM(I6:I12)</f>
        <v>81</v>
      </c>
    </row>
    <row r="14" spans="2:9" ht="15.75">
      <c r="B14" s="282" t="s">
        <v>161</v>
      </c>
      <c r="C14" s="235"/>
      <c r="D14" s="235"/>
      <c r="E14" s="235"/>
      <c r="F14" s="235"/>
      <c r="G14" s="452"/>
      <c r="H14" s="235"/>
      <c r="I14" s="236"/>
    </row>
    <row r="15" spans="2:9" ht="25.5">
      <c r="B15" s="237"/>
      <c r="C15" s="238" t="s">
        <v>70</v>
      </c>
      <c r="D15" s="238" t="s">
        <v>71</v>
      </c>
      <c r="E15" s="238" t="s">
        <v>72</v>
      </c>
      <c r="F15" s="238" t="s">
        <v>162</v>
      </c>
      <c r="G15" s="456" t="s">
        <v>163</v>
      </c>
      <c r="H15" s="240"/>
      <c r="I15" s="241"/>
    </row>
    <row r="16" spans="2:9" ht="12.75">
      <c r="B16" s="457" t="s">
        <v>41</v>
      </c>
      <c r="C16" s="242">
        <v>90</v>
      </c>
      <c r="D16" s="242">
        <v>0</v>
      </c>
      <c r="E16" s="242">
        <v>0</v>
      </c>
      <c r="F16" s="242">
        <v>0</v>
      </c>
      <c r="G16" s="113">
        <f>SUM(C16:F16)</f>
        <v>90</v>
      </c>
      <c r="H16" s="220"/>
      <c r="I16" s="221"/>
    </row>
    <row r="17" spans="2:9" ht="12.75">
      <c r="B17" s="243" t="s">
        <v>64</v>
      </c>
      <c r="C17" s="41">
        <v>110</v>
      </c>
      <c r="D17" s="41">
        <v>45</v>
      </c>
      <c r="E17" s="41">
        <v>45</v>
      </c>
      <c r="F17" s="42">
        <v>0</v>
      </c>
      <c r="G17" s="39"/>
      <c r="H17" s="220"/>
      <c r="I17" s="221"/>
    </row>
    <row r="18" spans="2:9" ht="12.75">
      <c r="B18" s="243" t="s">
        <v>293</v>
      </c>
      <c r="C18" s="485">
        <v>3.33</v>
      </c>
      <c r="D18" s="485">
        <v>6.5</v>
      </c>
      <c r="E18" s="485">
        <v>3.75</v>
      </c>
      <c r="F18" s="43"/>
      <c r="G18" s="37"/>
      <c r="H18" s="220"/>
      <c r="I18" s="221"/>
    </row>
    <row r="19" spans="2:9" ht="12.75">
      <c r="B19" s="243" t="s">
        <v>165</v>
      </c>
      <c r="C19" s="40">
        <f>C17*C16</f>
        <v>9900</v>
      </c>
      <c r="D19" s="40">
        <f>D17*D16</f>
        <v>0</v>
      </c>
      <c r="E19" s="40">
        <f>E17*E16</f>
        <v>0</v>
      </c>
      <c r="F19" s="40">
        <f>F17*F16</f>
        <v>0</v>
      </c>
      <c r="G19" s="40"/>
      <c r="H19" s="220"/>
      <c r="I19" s="221"/>
    </row>
    <row r="20" spans="2:9" ht="12.75">
      <c r="B20" s="243" t="s">
        <v>166</v>
      </c>
      <c r="C20" s="474">
        <f>C19*C18</f>
        <v>32967</v>
      </c>
      <c r="D20" s="474">
        <f>D19*D18</f>
        <v>0</v>
      </c>
      <c r="E20" s="474">
        <f>E19*E18</f>
        <v>0</v>
      </c>
      <c r="F20" s="474">
        <f>F19*F18</f>
        <v>0</v>
      </c>
      <c r="G20" s="474">
        <f>SUM(C20:F20)</f>
        <v>32967</v>
      </c>
      <c r="H20" s="486">
        <f>G20*$H$55</f>
        <v>25029.991915348946</v>
      </c>
      <c r="I20" s="487">
        <f>G20*$I$55</f>
        <v>7937.008084651052</v>
      </c>
    </row>
    <row r="21" spans="2:9" ht="12.75">
      <c r="B21" s="243" t="s">
        <v>167</v>
      </c>
      <c r="C21" s="474">
        <v>0</v>
      </c>
      <c r="D21" s="474">
        <v>0</v>
      </c>
      <c r="E21" s="474">
        <v>0</v>
      </c>
      <c r="F21" s="474"/>
      <c r="G21" s="474">
        <f>SUM(C21:F21)</f>
        <v>0</v>
      </c>
      <c r="H21" s="486">
        <f>G21*$H$55</f>
        <v>0</v>
      </c>
      <c r="I21" s="487">
        <f>G21*$I$55</f>
        <v>0</v>
      </c>
    </row>
    <row r="22" spans="2:9" ht="12.75">
      <c r="B22" s="244" t="s">
        <v>168</v>
      </c>
      <c r="C22" s="480">
        <f>IF(C16=0,0,(C21+C20)/C16)</f>
        <v>366.3</v>
      </c>
      <c r="D22" s="480">
        <f>IF(D16=0,0,(D21+D20)/D16)</f>
        <v>0</v>
      </c>
      <c r="E22" s="480">
        <f>IF(E16=0,0,(E21+E20)/E16)</f>
        <v>0</v>
      </c>
      <c r="F22" s="480">
        <f>IF(F16=0,0,(F21+F20)/F16)</f>
        <v>0</v>
      </c>
      <c r="G22" s="480">
        <f>(G21+G20)/G16</f>
        <v>366.3</v>
      </c>
      <c r="H22" s="454">
        <f>G22*$H$55</f>
        <v>278.111021281655</v>
      </c>
      <c r="I22" s="450">
        <f>G22*$I$55</f>
        <v>88.18897871834503</v>
      </c>
    </row>
    <row r="23" spans="2:9" ht="15.75">
      <c r="B23" s="282" t="s">
        <v>170</v>
      </c>
      <c r="C23" s="235"/>
      <c r="D23" s="235"/>
      <c r="E23" s="235"/>
      <c r="F23" s="235"/>
      <c r="G23" s="100"/>
      <c r="H23" s="100"/>
      <c r="I23" s="245"/>
    </row>
    <row r="24" spans="2:9" ht="25.5">
      <c r="B24" s="246" t="s">
        <v>171</v>
      </c>
      <c r="C24" s="247" t="str">
        <f>C15</f>
        <v>Maïs</v>
      </c>
      <c r="D24" s="247" t="str">
        <f>D15</f>
        <v>Soya</v>
      </c>
      <c r="E24" s="247" t="str">
        <f>E15</f>
        <v>Blé</v>
      </c>
      <c r="F24" s="247" t="str">
        <f>F15</f>
        <v>Culture 4</v>
      </c>
      <c r="G24" s="248" t="s">
        <v>169</v>
      </c>
      <c r="H24" s="218" t="s">
        <v>153</v>
      </c>
      <c r="I24" s="219" t="s">
        <v>154</v>
      </c>
    </row>
    <row r="25" spans="2:11" ht="12.75">
      <c r="B25" s="114" t="s">
        <v>73</v>
      </c>
      <c r="C25" s="229">
        <v>53.8</v>
      </c>
      <c r="D25" s="229">
        <v>37</v>
      </c>
      <c r="E25" s="229">
        <v>28</v>
      </c>
      <c r="F25" s="229"/>
      <c r="G25" s="226">
        <f aca="true" t="shared" si="0" ref="G25:G40">(C25*$C$16/$G$16)+(D25*$D$16/$G$16)+(E25*$E$16/$G$16)+(F25*$F$16/$G$16)</f>
        <v>53.8</v>
      </c>
      <c r="H25" s="454">
        <f>G25</f>
        <v>53.8</v>
      </c>
      <c r="I25" s="450">
        <v>0</v>
      </c>
      <c r="K25" s="45"/>
    </row>
    <row r="26" spans="2:11" ht="12.75">
      <c r="B26" s="114" t="s">
        <v>74</v>
      </c>
      <c r="C26" s="229">
        <v>56</v>
      </c>
      <c r="D26" s="229">
        <v>13.2</v>
      </c>
      <c r="E26" s="229">
        <f>14+33</f>
        <v>47</v>
      </c>
      <c r="F26" s="229"/>
      <c r="G26" s="226">
        <f t="shared" si="0"/>
        <v>56</v>
      </c>
      <c r="H26" s="454">
        <v>56</v>
      </c>
      <c r="I26" s="450">
        <v>0</v>
      </c>
      <c r="K26" s="45"/>
    </row>
    <row r="27" spans="2:11" ht="12.75">
      <c r="B27" s="114" t="s">
        <v>172</v>
      </c>
      <c r="C27" s="229">
        <v>23</v>
      </c>
      <c r="D27" s="229">
        <f>18+24</f>
        <v>42</v>
      </c>
      <c r="E27" s="229">
        <v>5</v>
      </c>
      <c r="F27" s="229"/>
      <c r="G27" s="226">
        <f t="shared" si="0"/>
        <v>23</v>
      </c>
      <c r="H27" s="454">
        <v>23</v>
      </c>
      <c r="I27" s="450">
        <v>0</v>
      </c>
      <c r="K27" s="45"/>
    </row>
    <row r="28" spans="2:11" ht="12.75">
      <c r="B28" s="114" t="s">
        <v>76</v>
      </c>
      <c r="C28" s="229">
        <v>0</v>
      </c>
      <c r="D28" s="229"/>
      <c r="E28" s="229"/>
      <c r="F28" s="229"/>
      <c r="G28" s="226">
        <f t="shared" si="0"/>
        <v>0</v>
      </c>
      <c r="H28" s="454">
        <v>0</v>
      </c>
      <c r="I28" s="450">
        <v>0</v>
      </c>
      <c r="K28" s="45"/>
    </row>
    <row r="29" spans="2:11" ht="12.75">
      <c r="B29" s="114" t="s">
        <v>77</v>
      </c>
      <c r="C29" s="229">
        <v>0</v>
      </c>
      <c r="D29" s="229">
        <v>16.2</v>
      </c>
      <c r="E29" s="229">
        <v>12.6</v>
      </c>
      <c r="F29" s="229"/>
      <c r="G29" s="226">
        <f t="shared" si="0"/>
        <v>0</v>
      </c>
      <c r="H29" s="454">
        <f>G29</f>
        <v>0</v>
      </c>
      <c r="I29" s="450">
        <v>0</v>
      </c>
      <c r="K29" s="45"/>
    </row>
    <row r="30" spans="2:11" ht="12.75">
      <c r="B30" s="114" t="s">
        <v>78</v>
      </c>
      <c r="C30" s="229">
        <v>0</v>
      </c>
      <c r="D30" s="229">
        <v>16</v>
      </c>
      <c r="E30" s="229">
        <v>18</v>
      </c>
      <c r="F30" s="229"/>
      <c r="G30" s="226">
        <f t="shared" si="0"/>
        <v>0</v>
      </c>
      <c r="H30" s="454">
        <f>G30</f>
        <v>0</v>
      </c>
      <c r="I30" s="450"/>
      <c r="K30" s="45"/>
    </row>
    <row r="31" spans="2:11" ht="12.75">
      <c r="B31" s="114" t="s">
        <v>79</v>
      </c>
      <c r="C31" s="229">
        <v>8.6</v>
      </c>
      <c r="D31" s="229">
        <v>8.5</v>
      </c>
      <c r="E31" s="229">
        <v>6.55</v>
      </c>
      <c r="F31" s="229"/>
      <c r="G31" s="226">
        <f t="shared" si="0"/>
        <v>8.6</v>
      </c>
      <c r="H31" s="454">
        <f>G31</f>
        <v>8.6</v>
      </c>
      <c r="I31" s="450"/>
      <c r="K31" s="45"/>
    </row>
    <row r="32" spans="2:11" ht="12.75">
      <c r="B32" s="114" t="s">
        <v>80</v>
      </c>
      <c r="C32" s="229">
        <v>0</v>
      </c>
      <c r="D32" s="229"/>
      <c r="E32" s="229"/>
      <c r="F32" s="229"/>
      <c r="G32" s="226">
        <f t="shared" si="0"/>
        <v>0</v>
      </c>
      <c r="H32" s="454">
        <v>0</v>
      </c>
      <c r="I32" s="450"/>
      <c r="K32" s="45"/>
    </row>
    <row r="33" spans="2:11" ht="12.75">
      <c r="B33" s="114" t="s">
        <v>81</v>
      </c>
      <c r="C33" s="229">
        <v>33.53</v>
      </c>
      <c r="D33" s="229"/>
      <c r="E33" s="229"/>
      <c r="F33" s="229"/>
      <c r="G33" s="226">
        <f t="shared" si="0"/>
        <v>33.53</v>
      </c>
      <c r="H33" s="454">
        <f>G33</f>
        <v>33.53</v>
      </c>
      <c r="I33" s="450"/>
      <c r="K33" s="45"/>
    </row>
    <row r="34" spans="2:11" ht="12.75">
      <c r="B34" s="114" t="s">
        <v>82</v>
      </c>
      <c r="C34" s="229">
        <v>50</v>
      </c>
      <c r="D34" s="229"/>
      <c r="E34" s="229">
        <v>7</v>
      </c>
      <c r="F34" s="229"/>
      <c r="G34" s="226">
        <f t="shared" si="0"/>
        <v>50</v>
      </c>
      <c r="H34" s="454">
        <f>G34</f>
        <v>50</v>
      </c>
      <c r="I34" s="450"/>
      <c r="K34" s="45"/>
    </row>
    <row r="35" spans="2:11" ht="12.75">
      <c r="B35" s="114" t="s">
        <v>83</v>
      </c>
      <c r="C35" s="229">
        <v>16.76</v>
      </c>
      <c r="D35" s="229"/>
      <c r="E35" s="229"/>
      <c r="F35" s="229"/>
      <c r="G35" s="226">
        <f t="shared" si="0"/>
        <v>16.76</v>
      </c>
      <c r="H35" s="454">
        <v>16.76</v>
      </c>
      <c r="I35" s="450"/>
      <c r="K35" s="45"/>
    </row>
    <row r="36" spans="2:11" ht="12.75">
      <c r="B36" s="114" t="s">
        <v>84</v>
      </c>
      <c r="C36" s="229">
        <v>0</v>
      </c>
      <c r="D36" s="229"/>
      <c r="E36" s="229"/>
      <c r="F36" s="229"/>
      <c r="G36" s="226">
        <f t="shared" si="0"/>
        <v>0</v>
      </c>
      <c r="H36" s="454"/>
      <c r="I36" s="450"/>
      <c r="K36" s="45"/>
    </row>
    <row r="37" spans="2:11" ht="12.75">
      <c r="B37" s="114" t="s">
        <v>85</v>
      </c>
      <c r="C37" s="229">
        <v>0</v>
      </c>
      <c r="D37" s="229"/>
      <c r="E37" s="229"/>
      <c r="F37" s="229"/>
      <c r="G37" s="226">
        <f t="shared" si="0"/>
        <v>0</v>
      </c>
      <c r="H37" s="454">
        <f>G37</f>
        <v>0</v>
      </c>
      <c r="I37" s="450"/>
      <c r="K37" s="45"/>
    </row>
    <row r="38" spans="2:11" ht="12.75">
      <c r="B38" s="114" t="s">
        <v>46</v>
      </c>
      <c r="C38" s="229">
        <v>0</v>
      </c>
      <c r="D38" s="229">
        <v>5.35</v>
      </c>
      <c r="E38" s="229">
        <v>4.1</v>
      </c>
      <c r="F38" s="229"/>
      <c r="G38" s="226">
        <f t="shared" si="0"/>
        <v>0</v>
      </c>
      <c r="H38" s="454">
        <f>G38</f>
        <v>0</v>
      </c>
      <c r="I38" s="450"/>
      <c r="K38" s="45"/>
    </row>
    <row r="39" spans="2:11" ht="12.75">
      <c r="B39" s="114" t="s">
        <v>86</v>
      </c>
      <c r="C39" s="229">
        <v>0</v>
      </c>
      <c r="D39" s="229"/>
      <c r="E39" s="229"/>
      <c r="F39" s="229"/>
      <c r="G39" s="226">
        <f t="shared" si="0"/>
        <v>0</v>
      </c>
      <c r="H39" s="454">
        <v>0</v>
      </c>
      <c r="I39" s="450">
        <v>0</v>
      </c>
      <c r="K39" s="45"/>
    </row>
    <row r="40" spans="2:11" ht="12.75">
      <c r="B40" s="114" t="s">
        <v>173</v>
      </c>
      <c r="C40" s="229"/>
      <c r="D40" s="229"/>
      <c r="E40" s="229"/>
      <c r="F40" s="229"/>
      <c r="G40" s="226">
        <f t="shared" si="0"/>
        <v>0</v>
      </c>
      <c r="H40" s="454"/>
      <c r="I40" s="450">
        <v>0</v>
      </c>
      <c r="K40" s="45"/>
    </row>
    <row r="41" spans="2:11" ht="25.5">
      <c r="B41" s="458" t="s">
        <v>174</v>
      </c>
      <c r="C41" s="249">
        <f aca="true" t="shared" si="1" ref="C41:I41">SUM(C25:C40)</f>
        <v>241.69</v>
      </c>
      <c r="D41" s="249">
        <f t="shared" si="1"/>
        <v>138.25</v>
      </c>
      <c r="E41" s="249">
        <f t="shared" si="1"/>
        <v>128.25</v>
      </c>
      <c r="F41" s="249">
        <f t="shared" si="1"/>
        <v>0</v>
      </c>
      <c r="G41" s="249">
        <f t="shared" si="1"/>
        <v>241.69</v>
      </c>
      <c r="H41" s="483">
        <f t="shared" si="1"/>
        <v>241.69</v>
      </c>
      <c r="I41" s="484">
        <f t="shared" si="1"/>
        <v>0</v>
      </c>
      <c r="K41" s="45"/>
    </row>
    <row r="42" spans="2:9" ht="25.5">
      <c r="B42" s="459" t="s">
        <v>175</v>
      </c>
      <c r="C42" s="40">
        <f>C41*C16</f>
        <v>21752.1</v>
      </c>
      <c r="D42" s="40">
        <f>D41*D16</f>
        <v>0</v>
      </c>
      <c r="E42" s="40">
        <f>E41*E16</f>
        <v>0</v>
      </c>
      <c r="F42" s="40">
        <f>F41*F16</f>
        <v>0</v>
      </c>
      <c r="G42" s="40"/>
      <c r="H42" s="174"/>
      <c r="I42" s="250"/>
    </row>
    <row r="43" spans="2:9" ht="54" customHeight="1">
      <c r="B43" s="251" t="s">
        <v>88</v>
      </c>
      <c r="C43" s="175"/>
      <c r="D43" s="97" t="s">
        <v>149</v>
      </c>
      <c r="E43" s="97" t="s">
        <v>150</v>
      </c>
      <c r="F43" s="97" t="s">
        <v>151</v>
      </c>
      <c r="G43" s="97" t="s">
        <v>152</v>
      </c>
      <c r="H43" s="172"/>
      <c r="I43" s="252"/>
    </row>
    <row r="44" spans="2:9" ht="25.5">
      <c r="B44" s="460" t="s">
        <v>176</v>
      </c>
      <c r="C44" s="113"/>
      <c r="D44" s="253">
        <v>100000</v>
      </c>
      <c r="E44" s="152">
        <v>1000</v>
      </c>
      <c r="F44" s="113"/>
      <c r="G44" s="26"/>
      <c r="H44" s="220"/>
      <c r="I44" s="221"/>
    </row>
    <row r="45" spans="2:9" ht="25.5">
      <c r="B45" s="460" t="s">
        <v>177</v>
      </c>
      <c r="C45" s="113"/>
      <c r="D45" s="253"/>
      <c r="E45" s="152">
        <f>D44*C5/E44/$G$16</f>
        <v>100</v>
      </c>
      <c r="F45" s="26"/>
      <c r="G45" s="26"/>
      <c r="H45" s="220"/>
      <c r="I45" s="221"/>
    </row>
    <row r="46" spans="2:9" ht="12.75">
      <c r="B46" s="114" t="s">
        <v>159</v>
      </c>
      <c r="C46" s="113"/>
      <c r="D46" s="113"/>
      <c r="E46" s="229">
        <v>10</v>
      </c>
      <c r="F46" s="225">
        <f>G46*$G$16</f>
        <v>900</v>
      </c>
      <c r="G46" s="226">
        <f>E45/E46</f>
        <v>10</v>
      </c>
      <c r="H46" s="454">
        <f>G46</f>
        <v>10</v>
      </c>
      <c r="I46" s="228"/>
    </row>
    <row r="47" spans="2:9" ht="12.75">
      <c r="B47" s="114" t="s">
        <v>160</v>
      </c>
      <c r="C47" s="113"/>
      <c r="D47" s="113"/>
      <c r="E47" s="224">
        <v>0.07</v>
      </c>
      <c r="F47" s="225">
        <f>G47*$G$16</f>
        <v>315.00000000000006</v>
      </c>
      <c r="G47" s="226">
        <f>E47*($E$45/2)</f>
        <v>3.5000000000000004</v>
      </c>
      <c r="H47" s="454">
        <f>G47</f>
        <v>3.5000000000000004</v>
      </c>
      <c r="I47" s="228"/>
    </row>
    <row r="48" spans="2:9" ht="12.75">
      <c r="B48" s="114" t="s">
        <v>178</v>
      </c>
      <c r="C48" s="113"/>
      <c r="D48" s="113"/>
      <c r="E48" s="254">
        <v>0.0025</v>
      </c>
      <c r="F48" s="225">
        <f>G48*$G$16</f>
        <v>22.5</v>
      </c>
      <c r="G48" s="481">
        <f>E48*$E$45</f>
        <v>0.25</v>
      </c>
      <c r="H48" s="454">
        <f>G48</f>
        <v>0.25</v>
      </c>
      <c r="I48" s="228"/>
    </row>
    <row r="49" spans="2:9" ht="12.75">
      <c r="B49" s="233" t="s">
        <v>281</v>
      </c>
      <c r="C49" s="113"/>
      <c r="D49" s="50"/>
      <c r="E49" s="41"/>
      <c r="F49" s="255">
        <f>SUM(F46:F48)</f>
        <v>1237.5</v>
      </c>
      <c r="G49" s="480">
        <f>SUM(G46:G48)</f>
        <v>13.75</v>
      </c>
      <c r="H49" s="453">
        <f>SUM(H46:H48)</f>
        <v>13.75</v>
      </c>
      <c r="I49" s="234">
        <f>SUM(I46:I48)</f>
        <v>0</v>
      </c>
    </row>
    <row r="50" spans="2:9" ht="12.75">
      <c r="B50" s="256" t="s">
        <v>179</v>
      </c>
      <c r="C50" s="257"/>
      <c r="D50" s="176"/>
      <c r="E50" s="173"/>
      <c r="F50" s="98"/>
      <c r="G50" s="173"/>
      <c r="H50" s="173"/>
      <c r="I50" s="258"/>
    </row>
    <row r="51" spans="2:9" ht="12.75">
      <c r="B51" s="243" t="s">
        <v>180</v>
      </c>
      <c r="C51" s="113"/>
      <c r="D51" s="38">
        <v>0</v>
      </c>
      <c r="E51" s="33" t="s">
        <v>294</v>
      </c>
      <c r="F51" s="482">
        <v>9</v>
      </c>
      <c r="G51" s="479">
        <f>D51*F51</f>
        <v>0</v>
      </c>
      <c r="H51" s="454">
        <f>G51</f>
        <v>0</v>
      </c>
      <c r="I51" s="259">
        <v>0</v>
      </c>
    </row>
    <row r="52" spans="2:9" ht="12.75">
      <c r="B52" s="243" t="s">
        <v>181</v>
      </c>
      <c r="C52" s="113"/>
      <c r="D52" s="46">
        <v>0</v>
      </c>
      <c r="E52" s="26" t="s">
        <v>182</v>
      </c>
      <c r="F52" s="35"/>
      <c r="G52" s="479">
        <f>(E45+D6)*D52</f>
        <v>0</v>
      </c>
      <c r="H52" s="454">
        <f>G52</f>
        <v>0</v>
      </c>
      <c r="I52" s="259"/>
    </row>
    <row r="53" spans="2:9" ht="12.75">
      <c r="B53" s="260" t="s">
        <v>183</v>
      </c>
      <c r="C53" s="159"/>
      <c r="D53" s="159"/>
      <c r="E53" s="159"/>
      <c r="F53" s="159"/>
      <c r="G53" s="478">
        <f>G41+G49+G51+G52</f>
        <v>255.44</v>
      </c>
      <c r="H53" s="453">
        <f>H41+H49+H51+H52</f>
        <v>255.44</v>
      </c>
      <c r="I53" s="234">
        <f>I41+I49+I51+I52</f>
        <v>0</v>
      </c>
    </row>
    <row r="54" spans="2:11" ht="12.75">
      <c r="B54" s="166" t="s">
        <v>184</v>
      </c>
      <c r="C54" s="167"/>
      <c r="D54" s="167"/>
      <c r="E54" s="167"/>
      <c r="F54" s="167"/>
      <c r="G54" s="477">
        <f>G53+G13</f>
        <v>336.44</v>
      </c>
      <c r="H54" s="476">
        <f>H13+H41+H49+H51+H52</f>
        <v>255.44</v>
      </c>
      <c r="I54" s="168">
        <f>I13+I41+I49+I51+I52</f>
        <v>81</v>
      </c>
      <c r="K54" s="44"/>
    </row>
    <row r="55" spans="2:9" ht="12.75">
      <c r="B55" s="161" t="s">
        <v>185</v>
      </c>
      <c r="C55" s="162"/>
      <c r="D55" s="162"/>
      <c r="E55" s="162"/>
      <c r="F55" s="162"/>
      <c r="G55" s="163"/>
      <c r="H55" s="164">
        <f>H54/(H54+I54)</f>
        <v>0.7592438473427654</v>
      </c>
      <c r="I55" s="165">
        <f>I54/(H54+I54)</f>
        <v>0.24075615265723457</v>
      </c>
    </row>
    <row r="56" spans="2:9" ht="15.75">
      <c r="B56" s="282" t="s">
        <v>186</v>
      </c>
      <c r="C56" s="235"/>
      <c r="D56" s="235"/>
      <c r="E56" s="235"/>
      <c r="F56" s="235"/>
      <c r="G56" s="261"/>
      <c r="H56" s="261"/>
      <c r="I56" s="262"/>
    </row>
    <row r="57" spans="2:9" ht="12.75">
      <c r="B57" s="233"/>
      <c r="C57" s="48"/>
      <c r="D57" s="41"/>
      <c r="E57" s="37"/>
      <c r="F57" s="263"/>
      <c r="G57" s="263"/>
      <c r="H57" s="37"/>
      <c r="I57" s="264"/>
    </row>
    <row r="58" spans="2:9" ht="15.75">
      <c r="B58" s="265" t="s">
        <v>187</v>
      </c>
      <c r="C58" s="98"/>
      <c r="D58" s="266" t="s">
        <v>188</v>
      </c>
      <c r="E58" s="266" t="s">
        <v>35</v>
      </c>
      <c r="F58" s="266"/>
      <c r="G58" s="257"/>
      <c r="H58" s="158"/>
      <c r="I58" s="267"/>
    </row>
    <row r="59" spans="2:9" ht="12.75">
      <c r="B59" s="268" t="s">
        <v>189</v>
      </c>
      <c r="C59" s="113"/>
      <c r="D59" s="464">
        <f>G22</f>
        <v>366.3</v>
      </c>
      <c r="E59" s="465">
        <f>D59*$G$16</f>
        <v>32967</v>
      </c>
      <c r="F59" s="255"/>
      <c r="G59" s="255"/>
      <c r="H59" s="153"/>
      <c r="I59" s="269"/>
    </row>
    <row r="60" spans="2:9" ht="12.75">
      <c r="B60" s="268" t="s">
        <v>190</v>
      </c>
      <c r="C60" s="113"/>
      <c r="D60" s="464">
        <f>G53</f>
        <v>255.44</v>
      </c>
      <c r="E60" s="466">
        <f>D60*$G$16</f>
        <v>22989.6</v>
      </c>
      <c r="F60" s="255"/>
      <c r="G60" s="255"/>
      <c r="H60" s="153"/>
      <c r="I60" s="269"/>
    </row>
    <row r="61" spans="2:9" ht="12.75">
      <c r="B61" s="268" t="s">
        <v>191</v>
      </c>
      <c r="C61" s="113"/>
      <c r="D61" s="464">
        <f>D59-D60</f>
        <v>110.86000000000001</v>
      </c>
      <c r="E61" s="466">
        <f>D61*$G$16</f>
        <v>9977.400000000001</v>
      </c>
      <c r="F61" s="255"/>
      <c r="G61" s="255"/>
      <c r="H61" s="153"/>
      <c r="I61" s="269"/>
    </row>
    <row r="62" spans="2:9" ht="12.75">
      <c r="B62" s="268" t="s">
        <v>192</v>
      </c>
      <c r="C62" s="113"/>
      <c r="D62" s="464">
        <f>G13</f>
        <v>81</v>
      </c>
      <c r="E62" s="466">
        <f>D62*$G$16</f>
        <v>7290</v>
      </c>
      <c r="F62" s="225"/>
      <c r="G62" s="225"/>
      <c r="H62" s="270"/>
      <c r="I62" s="271"/>
    </row>
    <row r="63" spans="2:9" ht="25.5">
      <c r="B63" s="461" t="s">
        <v>193</v>
      </c>
      <c r="C63" s="113"/>
      <c r="D63" s="464">
        <f>D61-G13</f>
        <v>29.860000000000014</v>
      </c>
      <c r="E63" s="466">
        <f>D63*$G$16</f>
        <v>2687.4000000000015</v>
      </c>
      <c r="F63" s="225"/>
      <c r="G63" s="225"/>
      <c r="H63" s="270"/>
      <c r="I63" s="271"/>
    </row>
    <row r="64" spans="2:9" ht="15.75">
      <c r="B64" s="265" t="s">
        <v>194</v>
      </c>
      <c r="C64" s="98"/>
      <c r="D64" s="156"/>
      <c r="E64" s="160"/>
      <c r="F64" s="157"/>
      <c r="G64" s="157"/>
      <c r="H64" s="157"/>
      <c r="I64" s="272"/>
    </row>
    <row r="65" spans="2:9" ht="15">
      <c r="B65" s="273"/>
      <c r="C65" s="220"/>
      <c r="D65" s="533" t="s">
        <v>195</v>
      </c>
      <c r="E65" s="533"/>
      <c r="F65" s="170"/>
      <c r="G65" s="534" t="s">
        <v>196</v>
      </c>
      <c r="H65" s="534"/>
      <c r="I65" s="274"/>
    </row>
    <row r="66" spans="2:9" ht="12.75">
      <c r="B66" s="275"/>
      <c r="C66" s="220"/>
      <c r="D66" s="276" t="s">
        <v>188</v>
      </c>
      <c r="E66" s="169" t="s">
        <v>35</v>
      </c>
      <c r="F66" s="170"/>
      <c r="G66" s="276" t="s">
        <v>188</v>
      </c>
      <c r="H66" s="169" t="s">
        <v>35</v>
      </c>
      <c r="I66" s="274"/>
    </row>
    <row r="67" spans="2:9" ht="12.75">
      <c r="B67" s="268" t="s">
        <v>197</v>
      </c>
      <c r="C67" s="113"/>
      <c r="D67" s="467">
        <f>($G$54-($H$54+$I$54))</f>
        <v>0</v>
      </c>
      <c r="E67" s="466">
        <f>D67*$G$16</f>
        <v>0</v>
      </c>
      <c r="F67" s="153"/>
      <c r="G67" s="471">
        <f>($G$54-($H$54+$I$54))</f>
        <v>0</v>
      </c>
      <c r="H67" s="466">
        <f>G67*$G$16</f>
        <v>0</v>
      </c>
      <c r="I67" s="269"/>
    </row>
    <row r="68" spans="2:9" ht="12.75">
      <c r="B68" s="237" t="s">
        <v>198</v>
      </c>
      <c r="C68" s="26"/>
      <c r="D68" s="277">
        <f>I55</f>
        <v>0.24075615265723457</v>
      </c>
      <c r="E68" s="37"/>
      <c r="F68" s="255"/>
      <c r="G68" s="277">
        <f>H55</f>
        <v>0.7592438473427654</v>
      </c>
      <c r="H68" s="26"/>
      <c r="I68" s="269"/>
    </row>
    <row r="69" spans="2:9" ht="12.75">
      <c r="B69" s="114" t="s">
        <v>199</v>
      </c>
      <c r="C69" s="113"/>
      <c r="D69" s="468">
        <f>D59*I55</f>
        <v>88.18897871834503</v>
      </c>
      <c r="E69" s="466">
        <f aca="true" t="shared" si="2" ref="E69:E74">D69*$G$16</f>
        <v>7937.008084651053</v>
      </c>
      <c r="F69" s="255"/>
      <c r="G69" s="472">
        <f>D59*H55</f>
        <v>278.111021281655</v>
      </c>
      <c r="H69" s="466">
        <f aca="true" t="shared" si="3" ref="H69:H74">G69*$G$16</f>
        <v>25029.99191534895</v>
      </c>
      <c r="I69" s="269"/>
    </row>
    <row r="70" spans="2:9" ht="25.5">
      <c r="B70" s="462" t="s">
        <v>200</v>
      </c>
      <c r="C70" s="113"/>
      <c r="D70" s="467">
        <f>I55*D67</f>
        <v>0</v>
      </c>
      <c r="E70" s="466">
        <f t="shared" si="2"/>
        <v>0</v>
      </c>
      <c r="F70" s="225"/>
      <c r="G70" s="467">
        <f>H55*D67</f>
        <v>0</v>
      </c>
      <c r="H70" s="466">
        <f t="shared" si="3"/>
        <v>0</v>
      </c>
      <c r="I70" s="269"/>
    </row>
    <row r="71" spans="2:9" ht="38.25">
      <c r="B71" s="462" t="s">
        <v>201</v>
      </c>
      <c r="C71" s="113"/>
      <c r="D71" s="467">
        <f>I53+D70+I7</f>
        <v>9</v>
      </c>
      <c r="E71" s="466">
        <f t="shared" si="2"/>
        <v>810</v>
      </c>
      <c r="F71" s="255"/>
      <c r="G71" s="464">
        <f>H53+G70-H46</f>
        <v>245.44</v>
      </c>
      <c r="H71" s="466">
        <f t="shared" si="3"/>
        <v>22089.6</v>
      </c>
      <c r="I71" s="269"/>
    </row>
    <row r="72" spans="2:9" ht="25.5">
      <c r="B72" s="458" t="s">
        <v>202</v>
      </c>
      <c r="C72" s="239"/>
      <c r="D72" s="469">
        <f>D69-D71</f>
        <v>79.18897871834503</v>
      </c>
      <c r="E72" s="474">
        <f t="shared" si="2"/>
        <v>7127.008084651053</v>
      </c>
      <c r="F72" s="255"/>
      <c r="G72" s="473">
        <f>G69-G71</f>
        <v>32.67102128165499</v>
      </c>
      <c r="H72" s="474">
        <f t="shared" si="3"/>
        <v>2940.3919153489487</v>
      </c>
      <c r="I72" s="269"/>
    </row>
    <row r="73" spans="2:9" ht="25.5">
      <c r="B73" s="462" t="s">
        <v>203</v>
      </c>
      <c r="C73" s="113"/>
      <c r="D73" s="464">
        <f>I54+D70</f>
        <v>81</v>
      </c>
      <c r="E73" s="466">
        <f t="shared" si="2"/>
        <v>7290</v>
      </c>
      <c r="F73" s="255"/>
      <c r="G73" s="464">
        <f>G70+H54</f>
        <v>255.44</v>
      </c>
      <c r="H73" s="466">
        <f t="shared" si="3"/>
        <v>22989.6</v>
      </c>
      <c r="I73" s="269"/>
    </row>
    <row r="74" spans="2:9" ht="24.75">
      <c r="B74" s="463" t="s">
        <v>204</v>
      </c>
      <c r="C74" s="278"/>
      <c r="D74" s="470">
        <f>D69-D73</f>
        <v>7.188978718345027</v>
      </c>
      <c r="E74" s="475">
        <f t="shared" si="2"/>
        <v>647.0080846510524</v>
      </c>
      <c r="F74" s="279"/>
      <c r="G74" s="470">
        <f>G69-G73</f>
        <v>22.671021281654987</v>
      </c>
      <c r="H74" s="475">
        <f t="shared" si="3"/>
        <v>2040.3919153489487</v>
      </c>
      <c r="I74" s="280"/>
    </row>
    <row r="75" spans="2:9" ht="12.75">
      <c r="B75" s="32"/>
      <c r="C75" s="36"/>
      <c r="D75" s="36"/>
      <c r="E75" s="36"/>
      <c r="F75" s="171"/>
      <c r="G75" s="171"/>
      <c r="H75" s="153"/>
      <c r="I75" s="153"/>
    </row>
    <row r="76" spans="2:9" ht="12.75">
      <c r="B76" s="99"/>
      <c r="C76" s="36"/>
      <c r="F76" s="154"/>
      <c r="G76" s="154"/>
      <c r="H76" s="153"/>
      <c r="I76" s="153"/>
    </row>
    <row r="77" spans="6:9" ht="12.75">
      <c r="F77" s="154"/>
      <c r="G77" s="154"/>
      <c r="H77" s="153"/>
      <c r="I77" s="153"/>
    </row>
    <row r="78" spans="2:9" ht="12.75">
      <c r="B78" s="32"/>
      <c r="F78" s="154"/>
      <c r="G78" s="154"/>
      <c r="H78" s="153"/>
      <c r="I78" s="153"/>
    </row>
    <row r="79" spans="2:8" ht="12.75">
      <c r="B79" s="47"/>
      <c r="F79" s="49"/>
      <c r="G79" s="155"/>
      <c r="H79" s="36"/>
    </row>
    <row r="80" spans="2:8" ht="12.75">
      <c r="B80" s="47"/>
      <c r="D80" s="6" t="s">
        <v>40</v>
      </c>
      <c r="F80" s="49"/>
      <c r="G80" s="155"/>
      <c r="H80" s="36"/>
    </row>
    <row r="81" spans="6:9" ht="12.75">
      <c r="F81" s="59"/>
      <c r="G81" s="59"/>
      <c r="H81" s="37"/>
      <c r="I81" s="37"/>
    </row>
    <row r="82" spans="2:9" ht="12.75">
      <c r="B82" s="22"/>
      <c r="C82" s="22"/>
      <c r="F82" s="59"/>
      <c r="G82" s="59"/>
      <c r="H82" s="37"/>
      <c r="I82" s="37"/>
    </row>
    <row r="83" spans="6:9" ht="12.75">
      <c r="F83" s="59"/>
      <c r="G83" s="59"/>
      <c r="H83" s="37"/>
      <c r="I83" s="37"/>
    </row>
    <row r="84" spans="6:9" ht="12.75">
      <c r="F84" s="59"/>
      <c r="G84" s="59"/>
      <c r="H84" s="37"/>
      <c r="I84" s="37"/>
    </row>
    <row r="85" spans="6:9" ht="12.75">
      <c r="F85" s="59"/>
      <c r="G85" s="59"/>
      <c r="H85" s="37"/>
      <c r="I85" s="37"/>
    </row>
    <row r="86" spans="6:9" ht="12.75">
      <c r="F86" s="59"/>
      <c r="G86" s="59"/>
      <c r="H86" s="37"/>
      <c r="I86" s="37"/>
    </row>
    <row r="87" spans="6:9" ht="12.75">
      <c r="F87" s="59"/>
      <c r="G87" s="59"/>
      <c r="H87" s="37"/>
      <c r="I87" s="37"/>
    </row>
    <row r="88" spans="6:9" ht="12.75">
      <c r="F88" s="59"/>
      <c r="G88" s="59"/>
      <c r="H88" s="37"/>
      <c r="I88" s="37"/>
    </row>
    <row r="99" spans="2:7" ht="12.75">
      <c r="B99" s="32"/>
      <c r="C99" s="33"/>
      <c r="D99" s="34"/>
      <c r="E99" s="33"/>
      <c r="F99" s="35"/>
      <c r="G99" s="36"/>
    </row>
    <row r="100" ht="12.75">
      <c r="J100" s="36" t="s">
        <v>36</v>
      </c>
    </row>
    <row r="119" ht="12.75">
      <c r="J119" s="22"/>
    </row>
    <row r="120" ht="12.75">
      <c r="J120" s="44"/>
    </row>
    <row r="124" spans="2:10" ht="25.5">
      <c r="B124" s="105" t="s">
        <v>9</v>
      </c>
      <c r="C124" s="102"/>
      <c r="D124" s="102"/>
      <c r="E124" s="102"/>
      <c r="F124" s="103"/>
      <c r="G124" s="104" t="s">
        <v>8</v>
      </c>
      <c r="H124" s="101" t="s">
        <v>11</v>
      </c>
      <c r="I124" s="101" t="s">
        <v>10</v>
      </c>
      <c r="J124" s="99"/>
    </row>
    <row r="135" spans="2:3" ht="12.75">
      <c r="B135" s="6" t="s">
        <v>39</v>
      </c>
      <c r="C135" s="44">
        <f>C22-G53</f>
        <v>110.86000000000001</v>
      </c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</sheetData>
  <sheetProtection/>
  <conditionalFormatting sqref="B25:B40 B46:B48 B6:B12">
    <cfRule type="expression" priority="1" dxfId="12" stopIfTrue="1">
      <formula>(H6+I6)&lt;G6</formula>
    </cfRule>
  </conditionalFormatting>
  <conditionalFormatting sqref="G25:G40 G46:G48 G6:G12">
    <cfRule type="cellIs" priority="2" dxfId="12" operator="greaterThan" stopIfTrue="1">
      <formula>(H6+I6)</formula>
    </cfRule>
  </conditionalFormatting>
  <conditionalFormatting sqref="D25:D40 E11:E12 D6:D10">
    <cfRule type="expression" priority="3" dxfId="12" stopIfTrue="1">
      <formula>(H6+I6)&lt;G6</formula>
    </cfRule>
  </conditionalFormatting>
  <conditionalFormatting sqref="C25:C40">
    <cfRule type="expression" priority="4" dxfId="12" stopIfTrue="1">
      <formula>(H25+I25)&lt;G25</formula>
    </cfRule>
  </conditionalFormatting>
  <conditionalFormatting sqref="E25:E40 E6:E8 E46:E48">
    <cfRule type="expression" priority="5" dxfId="12" stopIfTrue="1">
      <formula>(H6+I6)&lt;G6</formula>
    </cfRule>
  </conditionalFormatting>
  <conditionalFormatting sqref="F25:F40 F6:F12 F46:F48">
    <cfRule type="expression" priority="6" dxfId="12" stopIfTrue="1">
      <formula>(H6+I6)&lt;G6</formula>
    </cfRule>
  </conditionalFormatting>
  <conditionalFormatting sqref="H25:H40 H46:H48 H6:H12">
    <cfRule type="expression" priority="7" dxfId="12" stopIfTrue="1">
      <formula>(H6+I6)&lt;G6</formula>
    </cfRule>
  </conditionalFormatting>
  <conditionalFormatting sqref="I25:I40 I46:I48 I6:I12">
    <cfRule type="expression" priority="8" dxfId="12" stopIfTrue="1">
      <formula>(H6+I6)&lt;G6</formula>
    </cfRule>
  </conditionalFormatting>
  <conditionalFormatting sqref="D61:E63">
    <cfRule type="cellIs" priority="9" dxfId="13" operator="lessThan" stopIfTrue="1">
      <formula>0</formula>
    </cfRule>
  </conditionalFormatting>
  <conditionalFormatting sqref="E10">
    <cfRule type="expression" priority="10" dxfId="12" stopIfTrue="1">
      <formula>(I9+J9)&lt;H9</formula>
    </cfRule>
  </conditionalFormatting>
  <printOptions/>
  <pageMargins left="0.23" right="0.2" top="0.28" bottom="0.28" header="0.22" footer="0.19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6553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Dean, Brooke (OMAFRA)</cp:lastModifiedBy>
  <cp:lastPrinted>2005-08-16T14:08:25Z</cp:lastPrinted>
  <dcterms:created xsi:type="dcterms:W3CDTF">2000-01-03T19:49:04Z</dcterms:created>
  <dcterms:modified xsi:type="dcterms:W3CDTF">2015-12-17T19:00:35Z</dcterms:modified>
  <cp:category/>
  <cp:version/>
  <cp:contentType/>
  <cp:contentStatus/>
</cp:coreProperties>
</file>